
<file path=[Content_Types].xml><?xml version="1.0" encoding="utf-8"?>
<Types xmlns="http://schemas.openxmlformats.org/package/2006/content-types">
  <Override PartName="/xl/worksheets/sheet7.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xl/worksheets/sheet18.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10200" windowWidth="16340" windowHeight="10280" tabRatio="500"/>
  </bookViews>
  <sheets>
    <sheet name="Intro" sheetId="27" r:id="rId1"/>
    <sheet name="ToTs" sheetId="13" r:id="rId2"/>
    <sheet name="Px" sheetId="9" r:id="rId3"/>
    <sheet name="Px wts" sheetId="18" r:id="rId4"/>
    <sheet name="Px prices" sheetId="22" r:id="rId5"/>
    <sheet name="Hide prices" sheetId="23" r:id="rId6"/>
    <sheet name="XE" sheetId="24" r:id="rId7"/>
    <sheet name="Pm" sheetId="11" r:id="rId8"/>
    <sheet name="Pm wts" sheetId="12" r:id="rId9"/>
    <sheet name="Pm indices" sheetId="25" r:id="rId10"/>
    <sheet name="Brazil Px" sheetId="26" r:id="rId11"/>
    <sheet name="Moutoukias" sheetId="1" r:id="rId12"/>
    <sheet name="Anon. 1" sheetId="4" r:id="rId13"/>
    <sheet name="Anon. 2" sheetId="15" r:id="rId14"/>
    <sheet name="Broide" sheetId="5" r:id="rId15"/>
    <sheet name="Alvarez" sheetId="6" r:id="rId16"/>
    <sheet name="Cortes Conde et al" sheetId="7" r:id="rId17"/>
    <sheet name="V-P" sheetId="14" r:id="rId18"/>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30" i="6"/>
  <c r="N393"/>
  <c r="N394"/>
  <c r="N395"/>
  <c r="N396"/>
  <c r="N397"/>
  <c r="N398"/>
  <c r="N399"/>
  <c r="N400"/>
  <c r="N401"/>
  <c r="N402"/>
  <c r="N403"/>
  <c r="N404"/>
  <c r="N405"/>
  <c r="N406"/>
  <c r="N407"/>
  <c r="N408"/>
  <c r="N409"/>
  <c r="N410"/>
  <c r="E36"/>
  <c r="O374"/>
  <c r="O375"/>
  <c r="O376"/>
  <c r="O377"/>
  <c r="O378"/>
  <c r="O379"/>
  <c r="O380"/>
  <c r="O381"/>
  <c r="O382"/>
  <c r="O383"/>
  <c r="O384"/>
  <c r="O385"/>
  <c r="O386"/>
  <c r="F34"/>
  <c r="N313"/>
  <c r="N314"/>
  <c r="N315"/>
  <c r="N316"/>
  <c r="N317"/>
  <c r="N318"/>
  <c r="N319"/>
  <c r="N320"/>
  <c r="N321"/>
  <c r="N322"/>
  <c r="N323"/>
  <c r="N324"/>
  <c r="N325"/>
  <c r="N326"/>
  <c r="E29"/>
  <c r="L286"/>
  <c r="L287"/>
  <c r="L288"/>
  <c r="L289"/>
  <c r="L290"/>
  <c r="L291"/>
  <c r="L292"/>
  <c r="L293"/>
  <c r="L294"/>
  <c r="L295"/>
  <c r="L296"/>
  <c r="L297"/>
  <c r="L298"/>
  <c r="L299"/>
  <c r="L300"/>
  <c r="L301"/>
  <c r="L302"/>
  <c r="C27"/>
  <c r="F33"/>
  <c r="K606"/>
  <c r="K607"/>
  <c r="K608"/>
  <c r="K609"/>
  <c r="K610"/>
  <c r="K611"/>
  <c r="K597"/>
  <c r="K598"/>
  <c r="K599"/>
  <c r="P580"/>
  <c r="P581"/>
  <c r="P582"/>
  <c r="P583"/>
  <c r="P584"/>
  <c r="P585"/>
  <c r="P586"/>
  <c r="P587"/>
  <c r="P588"/>
  <c r="P589"/>
  <c r="P590"/>
  <c r="P591"/>
  <c r="P592"/>
  <c r="P593"/>
  <c r="K584"/>
  <c r="K585"/>
  <c r="K586"/>
  <c r="K587"/>
  <c r="K588"/>
  <c r="K572"/>
  <c r="K573"/>
  <c r="K574"/>
  <c r="K575"/>
  <c r="N565"/>
  <c r="N566"/>
  <c r="N554"/>
  <c r="M554"/>
  <c r="L546"/>
  <c r="K537"/>
  <c r="K538"/>
  <c r="K539"/>
  <c r="K523"/>
  <c r="K524"/>
  <c r="K525"/>
  <c r="K526"/>
  <c r="K527"/>
  <c r="K528"/>
  <c r="K512"/>
  <c r="K513"/>
  <c r="K514"/>
  <c r="K515"/>
  <c r="K516"/>
  <c r="K500"/>
  <c r="K501"/>
  <c r="K502"/>
  <c r="K503"/>
  <c r="K487"/>
  <c r="K488"/>
  <c r="K489"/>
  <c r="K490"/>
  <c r="K491"/>
  <c r="M479"/>
  <c r="P470"/>
  <c r="P471"/>
  <c r="P472"/>
  <c r="P473"/>
  <c r="P461"/>
  <c r="P462"/>
  <c r="N467"/>
  <c r="N468"/>
  <c r="N469"/>
  <c r="N470"/>
  <c r="N471"/>
  <c r="M466"/>
  <c r="M467"/>
  <c r="M468"/>
  <c r="M469"/>
  <c r="L467"/>
  <c r="L468"/>
  <c r="K456"/>
  <c r="L454"/>
  <c r="M454"/>
  <c r="M455"/>
  <c r="M456"/>
  <c r="M457"/>
  <c r="M458"/>
  <c r="O450"/>
  <c r="O451"/>
  <c r="O452"/>
  <c r="O453"/>
  <c r="O454"/>
  <c r="O455"/>
  <c r="O456"/>
  <c r="O457"/>
  <c r="O458"/>
  <c r="O459"/>
  <c r="O460"/>
  <c r="P448"/>
  <c r="P449"/>
  <c r="P450"/>
  <c r="P451"/>
  <c r="P452"/>
  <c r="L447"/>
  <c r="K441"/>
  <c r="K442"/>
  <c r="K443"/>
  <c r="L442"/>
  <c r="P417"/>
  <c r="P418"/>
  <c r="P419"/>
  <c r="P420"/>
  <c r="P421"/>
  <c r="P422"/>
  <c r="P423"/>
  <c r="P424"/>
  <c r="P425"/>
  <c r="P426"/>
  <c r="P427"/>
  <c r="P428"/>
  <c r="P429"/>
  <c r="P430"/>
  <c r="P431"/>
  <c r="N427"/>
  <c r="N428"/>
  <c r="N429"/>
  <c r="N430"/>
  <c r="N431"/>
  <c r="N432"/>
  <c r="N433"/>
  <c r="N434"/>
  <c r="L429"/>
  <c r="L430"/>
  <c r="L431"/>
  <c r="M426"/>
  <c r="M427"/>
  <c r="M428"/>
  <c r="M429"/>
  <c r="M430"/>
  <c r="M431"/>
  <c r="M432"/>
  <c r="M423"/>
  <c r="K416"/>
  <c r="K417"/>
  <c r="K418"/>
  <c r="K419"/>
  <c r="L417"/>
  <c r="M406"/>
  <c r="M407"/>
  <c r="N411"/>
  <c r="N412"/>
  <c r="N413"/>
  <c r="N414"/>
  <c r="N415"/>
  <c r="N416"/>
  <c r="N417"/>
  <c r="N418"/>
  <c r="N419"/>
  <c r="N420"/>
  <c r="N421"/>
  <c r="M397"/>
  <c r="L394"/>
  <c r="K394"/>
  <c r="K395"/>
  <c r="P387"/>
  <c r="P388"/>
  <c r="P389"/>
  <c r="P390"/>
  <c r="L387"/>
  <c r="M387"/>
  <c r="N387"/>
  <c r="K387"/>
  <c r="K380"/>
  <c r="K381"/>
  <c r="L382"/>
  <c r="L383"/>
  <c r="L384"/>
  <c r="O387"/>
  <c r="N373"/>
  <c r="M373"/>
  <c r="L372"/>
  <c r="L373"/>
  <c r="L374"/>
  <c r="K368"/>
  <c r="K369"/>
  <c r="K370"/>
  <c r="K371"/>
  <c r="P365"/>
  <c r="P366"/>
  <c r="P367"/>
  <c r="N367"/>
  <c r="M361"/>
  <c r="N359"/>
  <c r="L358"/>
  <c r="L359"/>
  <c r="L360"/>
  <c r="L361"/>
  <c r="K358"/>
  <c r="K359"/>
  <c r="N354"/>
  <c r="N355"/>
  <c r="N356"/>
  <c r="L354"/>
  <c r="P351"/>
  <c r="N348"/>
  <c r="N349"/>
  <c r="L347"/>
  <c r="L348"/>
  <c r="K344"/>
  <c r="K345"/>
  <c r="K346"/>
  <c r="K347"/>
  <c r="K348"/>
  <c r="N345"/>
  <c r="P339"/>
  <c r="P340"/>
  <c r="P341"/>
  <c r="P342"/>
  <c r="P343"/>
  <c r="P344"/>
  <c r="P345"/>
  <c r="P346"/>
  <c r="M348"/>
  <c r="M349"/>
  <c r="M350"/>
  <c r="M351"/>
  <c r="M341"/>
  <c r="M342"/>
  <c r="L336"/>
  <c r="L337"/>
  <c r="L338"/>
  <c r="L339"/>
  <c r="L340"/>
  <c r="L341"/>
  <c r="L342"/>
  <c r="L343"/>
  <c r="N334"/>
  <c r="N335"/>
  <c r="N336"/>
  <c r="N337"/>
  <c r="N338"/>
  <c r="N331"/>
  <c r="N332"/>
  <c r="M334"/>
  <c r="M335"/>
  <c r="M336"/>
  <c r="M337"/>
  <c r="M338"/>
  <c r="M339"/>
  <c r="K333"/>
  <c r="K334"/>
  <c r="K335"/>
  <c r="M322"/>
  <c r="M323"/>
  <c r="M324"/>
  <c r="M325"/>
  <c r="M326"/>
  <c r="M327"/>
  <c r="M328"/>
  <c r="L322"/>
  <c r="L323"/>
  <c r="L324"/>
  <c r="L325"/>
  <c r="L326"/>
  <c r="L327"/>
  <c r="L328"/>
  <c r="L329"/>
  <c r="K322"/>
  <c r="K323"/>
  <c r="K324"/>
  <c r="N327"/>
  <c r="N328"/>
  <c r="P313"/>
  <c r="P314"/>
  <c r="P315"/>
  <c r="P316"/>
  <c r="P317"/>
  <c r="P318"/>
  <c r="P305"/>
  <c r="L307"/>
  <c r="L308"/>
  <c r="L309"/>
  <c r="L310"/>
  <c r="L311"/>
  <c r="L312"/>
  <c r="L313"/>
  <c r="L314"/>
  <c r="L315"/>
  <c r="L316"/>
  <c r="L317"/>
  <c r="L318"/>
  <c r="N299"/>
  <c r="N300"/>
  <c r="N301"/>
  <c r="N302"/>
  <c r="K297"/>
  <c r="L303"/>
  <c r="M277"/>
  <c r="M278"/>
  <c r="M279"/>
  <c r="K275"/>
  <c r="L273"/>
  <c r="L274"/>
  <c r="L275"/>
  <c r="L276"/>
  <c r="L270"/>
  <c r="L264"/>
  <c r="L265"/>
  <c r="K261"/>
  <c r="K262"/>
  <c r="K263"/>
  <c r="K264"/>
  <c r="M251"/>
  <c r="M252"/>
  <c r="M253"/>
  <c r="M254"/>
  <c r="M255"/>
  <c r="M256"/>
  <c r="M257"/>
  <c r="L249"/>
  <c r="L250"/>
  <c r="L251"/>
  <c r="L252"/>
  <c r="L253"/>
  <c r="L254"/>
  <c r="L238"/>
  <c r="L239"/>
  <c r="L240"/>
  <c r="L241"/>
  <c r="K236"/>
  <c r="K237"/>
  <c r="K238"/>
  <c r="P228"/>
  <c r="P229"/>
  <c r="N228"/>
  <c r="N229"/>
  <c r="L228"/>
  <c r="L229"/>
  <c r="K228"/>
  <c r="K229"/>
  <c r="L214"/>
  <c r="L215"/>
  <c r="L216"/>
  <c r="L217"/>
  <c r="K213"/>
  <c r="K214"/>
  <c r="K215"/>
  <c r="L202"/>
  <c r="L203"/>
  <c r="L204"/>
  <c r="K202"/>
  <c r="K203"/>
  <c r="L193"/>
  <c r="K183"/>
  <c r="L159"/>
  <c r="L160"/>
  <c r="K155"/>
  <c r="L142"/>
  <c r="L143"/>
  <c r="L144"/>
  <c r="L145"/>
  <c r="L133"/>
  <c r="L116"/>
  <c r="K116"/>
  <c r="L113"/>
  <c r="L105"/>
  <c r="K96"/>
  <c r="L72"/>
  <c r="L73"/>
  <c r="L64"/>
  <c r="L59"/>
  <c r="L60"/>
  <c r="L61"/>
  <c r="L37"/>
  <c r="L38"/>
  <c r="K10"/>
  <c r="K11"/>
  <c r="K12"/>
  <c r="C49"/>
  <c r="C50"/>
  <c r="C51"/>
  <c r="C52"/>
  <c r="C53"/>
  <c r="C4"/>
  <c r="C5"/>
  <c r="C6"/>
  <c r="C7"/>
  <c r="C8"/>
  <c r="C9"/>
  <c r="C10"/>
  <c r="C11"/>
  <c r="C12"/>
  <c r="C13"/>
  <c r="C14"/>
  <c r="C15"/>
  <c r="C16"/>
  <c r="C17"/>
  <c r="C18"/>
  <c r="C19"/>
  <c r="C20"/>
  <c r="C21"/>
  <c r="C22"/>
  <c r="C23"/>
  <c r="C25"/>
  <c r="C26"/>
  <c r="C28"/>
  <c r="C29"/>
  <c r="C30"/>
  <c r="C31"/>
  <c r="C32"/>
  <c r="C33"/>
  <c r="C34"/>
  <c r="C35"/>
  <c r="C36"/>
  <c r="C37"/>
  <c r="C38"/>
  <c r="C39"/>
  <c r="C40"/>
  <c r="C41"/>
  <c r="C42"/>
  <c r="C43"/>
  <c r="C44"/>
  <c r="C45"/>
  <c r="C46"/>
  <c r="C47"/>
  <c r="C48"/>
  <c r="C3"/>
  <c r="E18"/>
  <c r="G18"/>
  <c r="E19"/>
  <c r="G19"/>
  <c r="E20"/>
  <c r="G20"/>
  <c r="E21"/>
  <c r="G21"/>
  <c r="D22"/>
  <c r="E22"/>
  <c r="G22"/>
  <c r="D23"/>
  <c r="E23"/>
  <c r="G23"/>
  <c r="D24"/>
  <c r="E24"/>
  <c r="G24"/>
  <c r="D25"/>
  <c r="E25"/>
  <c r="G25"/>
  <c r="D26"/>
  <c r="E26"/>
  <c r="G26"/>
  <c r="D27"/>
  <c r="E27"/>
  <c r="G27"/>
  <c r="D28"/>
  <c r="E28"/>
  <c r="G28"/>
  <c r="D29"/>
  <c r="G29"/>
  <c r="D30"/>
  <c r="E30"/>
  <c r="D31"/>
  <c r="G31"/>
  <c r="D32"/>
  <c r="G32"/>
  <c r="D33"/>
  <c r="E33"/>
  <c r="G33"/>
  <c r="D34"/>
  <c r="E34"/>
  <c r="G34"/>
  <c r="D35"/>
  <c r="E35"/>
  <c r="F35"/>
  <c r="G35"/>
  <c r="D36"/>
  <c r="F36"/>
  <c r="G36"/>
  <c r="D37"/>
  <c r="E37"/>
  <c r="F37"/>
  <c r="G37"/>
  <c r="D38"/>
  <c r="E38"/>
  <c r="F38"/>
  <c r="G38"/>
  <c r="D39"/>
  <c r="E39"/>
  <c r="F39"/>
  <c r="G39"/>
  <c r="D40"/>
  <c r="E40"/>
  <c r="F40"/>
  <c r="G40"/>
  <c r="D41"/>
  <c r="E41"/>
  <c r="F41"/>
  <c r="G41"/>
  <c r="D42"/>
  <c r="E42"/>
  <c r="F42"/>
  <c r="G42"/>
  <c r="D43"/>
  <c r="E43"/>
  <c r="F43"/>
  <c r="G43"/>
  <c r="D44"/>
  <c r="E44"/>
  <c r="F44"/>
  <c r="G44"/>
  <c r="D45"/>
  <c r="E45"/>
  <c r="F45"/>
  <c r="G45"/>
  <c r="D46"/>
  <c r="E46"/>
  <c r="F46"/>
  <c r="G46"/>
  <c r="D47"/>
  <c r="E47"/>
  <c r="F47"/>
  <c r="G47"/>
  <c r="D48"/>
  <c r="E48"/>
  <c r="F48"/>
  <c r="G48"/>
  <c r="D49"/>
  <c r="E49"/>
  <c r="F49"/>
  <c r="G49"/>
  <c r="D50"/>
  <c r="E50"/>
  <c r="F50"/>
  <c r="G50"/>
  <c r="D51"/>
  <c r="E51"/>
  <c r="F51"/>
  <c r="G51"/>
  <c r="D52"/>
  <c r="E52"/>
  <c r="F52"/>
  <c r="G52"/>
  <c r="D53"/>
  <c r="E53"/>
  <c r="F53"/>
  <c r="G53"/>
  <c r="B4"/>
  <c r="B5"/>
  <c r="B6"/>
  <c r="B7"/>
  <c r="B8"/>
  <c r="B9"/>
  <c r="B11"/>
  <c r="B12"/>
  <c r="B13"/>
  <c r="B14"/>
  <c r="B15"/>
  <c r="B16"/>
  <c r="B17"/>
  <c r="B18"/>
  <c r="B19"/>
  <c r="B20"/>
  <c r="B21"/>
  <c r="B22"/>
  <c r="B23"/>
  <c r="B24"/>
  <c r="B25"/>
  <c r="B26"/>
  <c r="B27"/>
  <c r="B28"/>
  <c r="B29"/>
  <c r="B30"/>
  <c r="B32"/>
  <c r="B33"/>
  <c r="B35"/>
  <c r="B36"/>
  <c r="B38"/>
  <c r="B39"/>
  <c r="B40"/>
  <c r="B41"/>
  <c r="B42"/>
  <c r="B43"/>
  <c r="B44"/>
  <c r="B45"/>
  <c r="B46"/>
  <c r="B47"/>
  <c r="B48"/>
  <c r="B49"/>
  <c r="B50"/>
  <c r="B51"/>
  <c r="B52"/>
  <c r="B5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I15"/>
  <c r="I27"/>
  <c r="I39"/>
  <c r="I51"/>
  <c r="I63"/>
  <c r="I75"/>
  <c r="I87"/>
  <c r="I99"/>
  <c r="I111"/>
  <c r="I123"/>
  <c r="I135"/>
  <c r="I147"/>
  <c r="I159"/>
  <c r="I171"/>
  <c r="I183"/>
  <c r="I195"/>
  <c r="I207"/>
  <c r="I219"/>
  <c r="I231"/>
  <c r="I243"/>
  <c r="I255"/>
  <c r="I267"/>
  <c r="I279"/>
  <c r="I291"/>
  <c r="I303"/>
  <c r="I315"/>
  <c r="I327"/>
  <c r="I339"/>
  <c r="I351"/>
  <c r="I363"/>
  <c r="I375"/>
  <c r="I387"/>
  <c r="I399"/>
  <c r="I411"/>
  <c r="I423"/>
  <c r="I435"/>
  <c r="I447"/>
  <c r="I459"/>
  <c r="I471"/>
  <c r="I483"/>
  <c r="I495"/>
  <c r="I507"/>
  <c r="I519"/>
  <c r="I531"/>
  <c r="I543"/>
  <c r="I555"/>
  <c r="I567"/>
  <c r="I579"/>
  <c r="I591"/>
  <c r="I603"/>
  <c r="B3"/>
  <c r="K97"/>
  <c r="B10"/>
  <c r="C24"/>
  <c r="B31"/>
  <c r="E31"/>
  <c r="E32"/>
  <c r="B34"/>
  <c r="B37"/>
  <c r="J28" i="15"/>
  <c r="J29"/>
  <c r="I30"/>
  <c r="J30"/>
  <c r="I31"/>
  <c r="J31"/>
  <c r="J32"/>
  <c r="I33"/>
  <c r="J33"/>
  <c r="I35"/>
  <c r="J35"/>
  <c r="J36"/>
  <c r="C6"/>
  <c r="B6"/>
  <c r="J4"/>
  <c r="J5"/>
  <c r="J7"/>
  <c r="J8"/>
  <c r="J9"/>
  <c r="J10"/>
  <c r="J11"/>
  <c r="J12"/>
  <c r="J13"/>
  <c r="J14"/>
  <c r="J15"/>
  <c r="C4"/>
  <c r="B4"/>
  <c r="J16"/>
  <c r="J17"/>
  <c r="I18"/>
  <c r="J18"/>
  <c r="J19"/>
  <c r="I20"/>
  <c r="J20"/>
  <c r="J21"/>
  <c r="J22"/>
  <c r="I23"/>
  <c r="J23"/>
  <c r="J24"/>
  <c r="J25"/>
  <c r="J26"/>
  <c r="J27"/>
  <c r="C5"/>
  <c r="B5"/>
  <c r="E16"/>
  <c r="E28"/>
  <c r="AB121" i="26"/>
  <c r="AB16"/>
  <c r="U121"/>
  <c r="U16"/>
  <c r="V121"/>
  <c r="V16"/>
  <c r="W121"/>
  <c r="W16"/>
  <c r="X121"/>
  <c r="X16"/>
  <c r="Y121"/>
  <c r="Y16"/>
  <c r="Z121"/>
  <c r="Z16"/>
  <c r="AA121"/>
  <c r="AA16"/>
  <c r="AB15"/>
  <c r="AA31"/>
  <c r="AA6"/>
  <c r="U31"/>
  <c r="U6"/>
  <c r="V31"/>
  <c r="V6"/>
  <c r="W31"/>
  <c r="W6"/>
  <c r="X31"/>
  <c r="X6"/>
  <c r="Y31"/>
  <c r="Y6"/>
  <c r="Z31"/>
  <c r="Z6"/>
  <c r="AB31"/>
  <c r="AB6"/>
  <c r="U5"/>
  <c r="V5"/>
  <c r="W5"/>
  <c r="X5"/>
  <c r="Y5"/>
  <c r="Z5"/>
  <c r="AB5"/>
  <c r="U4"/>
  <c r="V4"/>
  <c r="X4"/>
  <c r="Y4"/>
  <c r="Z4"/>
  <c r="AB4"/>
  <c r="U21"/>
  <c r="U3"/>
  <c r="V21"/>
  <c r="V3"/>
  <c r="W21"/>
  <c r="W3"/>
  <c r="X21"/>
  <c r="X3"/>
  <c r="Y21"/>
  <c r="Y3"/>
  <c r="Z21"/>
  <c r="Z3"/>
  <c r="AA21"/>
  <c r="AB21"/>
  <c r="AB3"/>
  <c r="U41"/>
  <c r="U7"/>
  <c r="V41"/>
  <c r="V7"/>
  <c r="W41"/>
  <c r="W7"/>
  <c r="X41"/>
  <c r="X7"/>
  <c r="Y41"/>
  <c r="Y7"/>
  <c r="Z41"/>
  <c r="Z7"/>
  <c r="AA41"/>
  <c r="AA7"/>
  <c r="AB41"/>
  <c r="AB7"/>
  <c r="U51"/>
  <c r="U8"/>
  <c r="V51"/>
  <c r="V8"/>
  <c r="W51"/>
  <c r="W8"/>
  <c r="X51"/>
  <c r="X8"/>
  <c r="Y51"/>
  <c r="Y8"/>
  <c r="Z51"/>
  <c r="Z8"/>
  <c r="AA51"/>
  <c r="AA8"/>
  <c r="AB51"/>
  <c r="AB8"/>
  <c r="U61"/>
  <c r="U9"/>
  <c r="V61"/>
  <c r="V9"/>
  <c r="W61"/>
  <c r="W9"/>
  <c r="X61"/>
  <c r="X9"/>
  <c r="Y61"/>
  <c r="Y9"/>
  <c r="Z61"/>
  <c r="Z9"/>
  <c r="AA61"/>
  <c r="AA9"/>
  <c r="AB61"/>
  <c r="AB9"/>
  <c r="U71"/>
  <c r="U10"/>
  <c r="V71"/>
  <c r="V10"/>
  <c r="W71"/>
  <c r="W10"/>
  <c r="X71"/>
  <c r="X10"/>
  <c r="Y71"/>
  <c r="Y10"/>
  <c r="Z71"/>
  <c r="Z10"/>
  <c r="AA71"/>
  <c r="AA10"/>
  <c r="AB71"/>
  <c r="AB10"/>
  <c r="U81"/>
  <c r="U11"/>
  <c r="V81"/>
  <c r="V11"/>
  <c r="W81"/>
  <c r="W11"/>
  <c r="X81"/>
  <c r="X11"/>
  <c r="Y81"/>
  <c r="Y11"/>
  <c r="Z81"/>
  <c r="Z11"/>
  <c r="AA81"/>
  <c r="AA11"/>
  <c r="AB81"/>
  <c r="AB11"/>
  <c r="U91"/>
  <c r="U12"/>
  <c r="V91"/>
  <c r="V12"/>
  <c r="W91"/>
  <c r="W12"/>
  <c r="X91"/>
  <c r="X12"/>
  <c r="Y91"/>
  <c r="Y12"/>
  <c r="Z91"/>
  <c r="Z12"/>
  <c r="AA91"/>
  <c r="AA12"/>
  <c r="AB91"/>
  <c r="AB12"/>
  <c r="U101"/>
  <c r="U13"/>
  <c r="V101"/>
  <c r="V13"/>
  <c r="W101"/>
  <c r="W13"/>
  <c r="X101"/>
  <c r="X13"/>
  <c r="Y101"/>
  <c r="Y13"/>
  <c r="Z101"/>
  <c r="Z13"/>
  <c r="AA101"/>
  <c r="AA13"/>
  <c r="AB101"/>
  <c r="AB13"/>
  <c r="U111"/>
  <c r="U14"/>
  <c r="V111"/>
  <c r="V14"/>
  <c r="W111"/>
  <c r="W14"/>
  <c r="X111"/>
  <c r="X14"/>
  <c r="Y111"/>
  <c r="Y14"/>
  <c r="Z111"/>
  <c r="Z14"/>
  <c r="AA111"/>
  <c r="AA14"/>
  <c r="AB111"/>
  <c r="AB14"/>
  <c r="U15"/>
  <c r="V15"/>
  <c r="W15"/>
  <c r="X15"/>
  <c r="Y15"/>
  <c r="Z15"/>
  <c r="AA15"/>
  <c r="AC121"/>
  <c r="AC16"/>
  <c r="U131"/>
  <c r="U17"/>
  <c r="V131"/>
  <c r="V17"/>
  <c r="W131"/>
  <c r="W17"/>
  <c r="X131"/>
  <c r="X17"/>
  <c r="Y131"/>
  <c r="Y17"/>
  <c r="Z131"/>
  <c r="Z17"/>
  <c r="AA131"/>
  <c r="AA17"/>
  <c r="AB131"/>
  <c r="AB17"/>
  <c r="AC131"/>
  <c r="AC17"/>
  <c r="U139"/>
  <c r="U18"/>
  <c r="V139"/>
  <c r="V18"/>
  <c r="W139"/>
  <c r="W18"/>
  <c r="X139"/>
  <c r="X18"/>
  <c r="Y139"/>
  <c r="Y18"/>
  <c r="Z139"/>
  <c r="Z18"/>
  <c r="AA139"/>
  <c r="AA18"/>
  <c r="AB139"/>
  <c r="AB18"/>
  <c r="AC139"/>
  <c r="AC18"/>
  <c r="AO21"/>
  <c r="AO118"/>
  <c r="AE21"/>
  <c r="AP21"/>
  <c r="AP118"/>
  <c r="AF21"/>
  <c r="AR21"/>
  <c r="AR118"/>
  <c r="AH21"/>
  <c r="AS21"/>
  <c r="AS118"/>
  <c r="AI21"/>
  <c r="AT21"/>
  <c r="AT118"/>
  <c r="AJ21"/>
  <c r="AV21"/>
  <c r="AV118"/>
  <c r="AL21"/>
  <c r="AO22"/>
  <c r="AE22"/>
  <c r="AP22"/>
  <c r="AF22"/>
  <c r="AR22"/>
  <c r="AH22"/>
  <c r="AS22"/>
  <c r="AI22"/>
  <c r="AT22"/>
  <c r="AJ22"/>
  <c r="AV22"/>
  <c r="AL22"/>
  <c r="AO23"/>
  <c r="AE23"/>
  <c r="AP23"/>
  <c r="AF23"/>
  <c r="AR23"/>
  <c r="AH23"/>
  <c r="AS23"/>
  <c r="AI23"/>
  <c r="AT23"/>
  <c r="AJ23"/>
  <c r="AV23"/>
  <c r="AL23"/>
  <c r="AO24"/>
  <c r="AE24"/>
  <c r="AP24"/>
  <c r="AF24"/>
  <c r="AR24"/>
  <c r="AH24"/>
  <c r="AS24"/>
  <c r="AI24"/>
  <c r="AT24"/>
  <c r="AJ24"/>
  <c r="AV24"/>
  <c r="AL24"/>
  <c r="AO25"/>
  <c r="AE25"/>
  <c r="AP25"/>
  <c r="AF25"/>
  <c r="AR25"/>
  <c r="AH25"/>
  <c r="AS25"/>
  <c r="AI25"/>
  <c r="AT25"/>
  <c r="AJ25"/>
  <c r="AV25"/>
  <c r="AL25"/>
  <c r="AO26"/>
  <c r="AE26"/>
  <c r="AP26"/>
  <c r="AF26"/>
  <c r="AR26"/>
  <c r="AH26"/>
  <c r="AS26"/>
  <c r="AI26"/>
  <c r="AT26"/>
  <c r="AJ26"/>
  <c r="AV26"/>
  <c r="AL26"/>
  <c r="AO27"/>
  <c r="AE27"/>
  <c r="AP27"/>
  <c r="AF27"/>
  <c r="AQ27"/>
  <c r="AQ118"/>
  <c r="AG27"/>
  <c r="AR27"/>
  <c r="AH27"/>
  <c r="AS27"/>
  <c r="AI27"/>
  <c r="AT27"/>
  <c r="AJ27"/>
  <c r="AV27"/>
  <c r="AL27"/>
  <c r="AO28"/>
  <c r="AE28"/>
  <c r="AP28"/>
  <c r="AF28"/>
  <c r="AQ28"/>
  <c r="AG28"/>
  <c r="AR28"/>
  <c r="AH28"/>
  <c r="AS28"/>
  <c r="AI28"/>
  <c r="AT28"/>
  <c r="AJ28"/>
  <c r="AV28"/>
  <c r="AL28"/>
  <c r="AO29"/>
  <c r="AE29"/>
  <c r="AP29"/>
  <c r="AF29"/>
  <c r="AQ29"/>
  <c r="AG29"/>
  <c r="AR29"/>
  <c r="AH29"/>
  <c r="AS29"/>
  <c r="AI29"/>
  <c r="AT29"/>
  <c r="AJ29"/>
  <c r="AV29"/>
  <c r="AL29"/>
  <c r="AO30"/>
  <c r="AE30"/>
  <c r="AP30"/>
  <c r="AF30"/>
  <c r="AQ30"/>
  <c r="AG30"/>
  <c r="AR30"/>
  <c r="AH30"/>
  <c r="AS30"/>
  <c r="AI30"/>
  <c r="AT30"/>
  <c r="AJ30"/>
  <c r="AV30"/>
  <c r="AL30"/>
  <c r="AO31"/>
  <c r="AE31"/>
  <c r="AP31"/>
  <c r="AF31"/>
  <c r="AQ31"/>
  <c r="AG31"/>
  <c r="AR31"/>
  <c r="AH31"/>
  <c r="AS31"/>
  <c r="AI31"/>
  <c r="AT31"/>
  <c r="AJ31"/>
  <c r="AU31"/>
  <c r="AU118"/>
  <c r="AK31"/>
  <c r="AV31"/>
  <c r="AL31"/>
  <c r="AO32"/>
  <c r="AE32"/>
  <c r="AP32"/>
  <c r="AF32"/>
  <c r="AQ32"/>
  <c r="AG32"/>
  <c r="AR32"/>
  <c r="AH32"/>
  <c r="AS32"/>
  <c r="AI32"/>
  <c r="AT32"/>
  <c r="AJ32"/>
  <c r="AU32"/>
  <c r="AK32"/>
  <c r="AV32"/>
  <c r="AL32"/>
  <c r="AO33"/>
  <c r="AE33"/>
  <c r="AP33"/>
  <c r="AF33"/>
  <c r="AQ33"/>
  <c r="AG33"/>
  <c r="AR33"/>
  <c r="AH33"/>
  <c r="AS33"/>
  <c r="AI33"/>
  <c r="AT33"/>
  <c r="AJ33"/>
  <c r="AU33"/>
  <c r="AK33"/>
  <c r="AV33"/>
  <c r="AL33"/>
  <c r="AO34"/>
  <c r="AE34"/>
  <c r="AP34"/>
  <c r="AF34"/>
  <c r="AQ34"/>
  <c r="AG34"/>
  <c r="AR34"/>
  <c r="AH34"/>
  <c r="AS34"/>
  <c r="AI34"/>
  <c r="AT34"/>
  <c r="AJ34"/>
  <c r="AU34"/>
  <c r="AK34"/>
  <c r="AV34"/>
  <c r="AL34"/>
  <c r="AO35"/>
  <c r="AE35"/>
  <c r="AP35"/>
  <c r="AF35"/>
  <c r="AQ35"/>
  <c r="AG35"/>
  <c r="AR35"/>
  <c r="AH35"/>
  <c r="AS35"/>
  <c r="AI35"/>
  <c r="AT35"/>
  <c r="AJ35"/>
  <c r="AU35"/>
  <c r="AK35"/>
  <c r="AV35"/>
  <c r="AL35"/>
  <c r="AO36"/>
  <c r="AE36"/>
  <c r="AP36"/>
  <c r="AF36"/>
  <c r="AQ36"/>
  <c r="AG36"/>
  <c r="AR36"/>
  <c r="AH36"/>
  <c r="AS36"/>
  <c r="AI36"/>
  <c r="AT36"/>
  <c r="AJ36"/>
  <c r="AU36"/>
  <c r="AK36"/>
  <c r="AV36"/>
  <c r="AL36"/>
  <c r="AO37"/>
  <c r="AE37"/>
  <c r="AP37"/>
  <c r="AF37"/>
  <c r="AQ37"/>
  <c r="AG37"/>
  <c r="AR37"/>
  <c r="AH37"/>
  <c r="AS37"/>
  <c r="AI37"/>
  <c r="AT37"/>
  <c r="AJ37"/>
  <c r="AU37"/>
  <c r="AK37"/>
  <c r="AV37"/>
  <c r="AL37"/>
  <c r="AO38"/>
  <c r="AE38"/>
  <c r="AP38"/>
  <c r="AF38"/>
  <c r="AQ38"/>
  <c r="AG38"/>
  <c r="AR38"/>
  <c r="AH38"/>
  <c r="AS38"/>
  <c r="AI38"/>
  <c r="AT38"/>
  <c r="AJ38"/>
  <c r="AU38"/>
  <c r="AK38"/>
  <c r="AV38"/>
  <c r="AL38"/>
  <c r="AO39"/>
  <c r="AE39"/>
  <c r="AP39"/>
  <c r="AF39"/>
  <c r="AQ39"/>
  <c r="AG39"/>
  <c r="AR39"/>
  <c r="AH39"/>
  <c r="AS39"/>
  <c r="AI39"/>
  <c r="AT39"/>
  <c r="AJ39"/>
  <c r="AU39"/>
  <c r="AK39"/>
  <c r="AV39"/>
  <c r="AL39"/>
  <c r="AO40"/>
  <c r="AE40"/>
  <c r="AP40"/>
  <c r="AF40"/>
  <c r="AQ40"/>
  <c r="AG40"/>
  <c r="AR40"/>
  <c r="AH40"/>
  <c r="AS40"/>
  <c r="AI40"/>
  <c r="AT40"/>
  <c r="AJ40"/>
  <c r="AU40"/>
  <c r="AK40"/>
  <c r="AV40"/>
  <c r="AL40"/>
  <c r="AO41"/>
  <c r="AE41"/>
  <c r="AP41"/>
  <c r="AF41"/>
  <c r="AQ41"/>
  <c r="AG41"/>
  <c r="AR41"/>
  <c r="AH41"/>
  <c r="AS41"/>
  <c r="AI41"/>
  <c r="AT41"/>
  <c r="AJ41"/>
  <c r="AU41"/>
  <c r="AK41"/>
  <c r="AV41"/>
  <c r="AL41"/>
  <c r="AO42"/>
  <c r="AE42"/>
  <c r="AP42"/>
  <c r="AF42"/>
  <c r="AQ42"/>
  <c r="AG42"/>
  <c r="AR42"/>
  <c r="AH42"/>
  <c r="AS42"/>
  <c r="AI42"/>
  <c r="AT42"/>
  <c r="AJ42"/>
  <c r="AU42"/>
  <c r="AK42"/>
  <c r="AV42"/>
  <c r="AL42"/>
  <c r="AO43"/>
  <c r="AE43"/>
  <c r="AP43"/>
  <c r="AF43"/>
  <c r="AQ43"/>
  <c r="AG43"/>
  <c r="AR43"/>
  <c r="AH43"/>
  <c r="AS43"/>
  <c r="AI43"/>
  <c r="AT43"/>
  <c r="AJ43"/>
  <c r="AU43"/>
  <c r="AK43"/>
  <c r="AV43"/>
  <c r="AL43"/>
  <c r="AO44"/>
  <c r="AE44"/>
  <c r="AP44"/>
  <c r="AF44"/>
  <c r="AQ44"/>
  <c r="AG44"/>
  <c r="AR44"/>
  <c r="AH44"/>
  <c r="AS44"/>
  <c r="AI44"/>
  <c r="AT44"/>
  <c r="AJ44"/>
  <c r="AU44"/>
  <c r="AK44"/>
  <c r="AV44"/>
  <c r="AL44"/>
  <c r="AO45"/>
  <c r="AE45"/>
  <c r="AP45"/>
  <c r="AF45"/>
  <c r="AQ45"/>
  <c r="AG45"/>
  <c r="AR45"/>
  <c r="AH45"/>
  <c r="AS45"/>
  <c r="AI45"/>
  <c r="AT45"/>
  <c r="AJ45"/>
  <c r="AU45"/>
  <c r="AK45"/>
  <c r="AV45"/>
  <c r="AL45"/>
  <c r="AO46"/>
  <c r="AE46"/>
  <c r="AP46"/>
  <c r="AF46"/>
  <c r="AQ46"/>
  <c r="AG46"/>
  <c r="AR46"/>
  <c r="AH46"/>
  <c r="AS46"/>
  <c r="AI46"/>
  <c r="AT46"/>
  <c r="AJ46"/>
  <c r="AU46"/>
  <c r="AK46"/>
  <c r="AV46"/>
  <c r="AL46"/>
  <c r="AO47"/>
  <c r="AE47"/>
  <c r="AP47"/>
  <c r="AF47"/>
  <c r="AQ47"/>
  <c r="AG47"/>
  <c r="AR47"/>
  <c r="AH47"/>
  <c r="AS47"/>
  <c r="AI47"/>
  <c r="AT47"/>
  <c r="AJ47"/>
  <c r="AU47"/>
  <c r="AK47"/>
  <c r="AV47"/>
  <c r="AL47"/>
  <c r="AO48"/>
  <c r="AE48"/>
  <c r="AP48"/>
  <c r="AF48"/>
  <c r="AQ48"/>
  <c r="AG48"/>
  <c r="AR48"/>
  <c r="AH48"/>
  <c r="AS48"/>
  <c r="AI48"/>
  <c r="AT48"/>
  <c r="AJ48"/>
  <c r="AU48"/>
  <c r="AK48"/>
  <c r="AV48"/>
  <c r="AL48"/>
  <c r="AO49"/>
  <c r="AE49"/>
  <c r="AP49"/>
  <c r="AF49"/>
  <c r="AQ49"/>
  <c r="AG49"/>
  <c r="AR49"/>
  <c r="AH49"/>
  <c r="AS49"/>
  <c r="AI49"/>
  <c r="AT49"/>
  <c r="AJ49"/>
  <c r="AU49"/>
  <c r="AK49"/>
  <c r="AV49"/>
  <c r="AL49"/>
  <c r="AO50"/>
  <c r="AE50"/>
  <c r="AP50"/>
  <c r="AF50"/>
  <c r="AQ50"/>
  <c r="AG50"/>
  <c r="AR50"/>
  <c r="AH50"/>
  <c r="AS50"/>
  <c r="AI50"/>
  <c r="AT50"/>
  <c r="AJ50"/>
  <c r="AU50"/>
  <c r="AK50"/>
  <c r="AV50"/>
  <c r="AL50"/>
  <c r="AO51"/>
  <c r="AE51"/>
  <c r="AP51"/>
  <c r="AF51"/>
  <c r="AQ51"/>
  <c r="AG51"/>
  <c r="AR51"/>
  <c r="AH51"/>
  <c r="AS51"/>
  <c r="AI51"/>
  <c r="AT51"/>
  <c r="AJ51"/>
  <c r="AU51"/>
  <c r="AK51"/>
  <c r="AV51"/>
  <c r="AL51"/>
  <c r="AO52"/>
  <c r="AE52"/>
  <c r="AP52"/>
  <c r="AF52"/>
  <c r="AQ52"/>
  <c r="AG52"/>
  <c r="AR52"/>
  <c r="AH52"/>
  <c r="AS52"/>
  <c r="AI52"/>
  <c r="AT52"/>
  <c r="AJ52"/>
  <c r="AU52"/>
  <c r="AK52"/>
  <c r="AV52"/>
  <c r="AL52"/>
  <c r="AO53"/>
  <c r="AE53"/>
  <c r="AP53"/>
  <c r="AF53"/>
  <c r="AQ53"/>
  <c r="AG53"/>
  <c r="AR53"/>
  <c r="AH53"/>
  <c r="AS53"/>
  <c r="AI53"/>
  <c r="AT53"/>
  <c r="AJ53"/>
  <c r="AU53"/>
  <c r="AK53"/>
  <c r="AV53"/>
  <c r="AL53"/>
  <c r="AO54"/>
  <c r="AE54"/>
  <c r="AP54"/>
  <c r="AF54"/>
  <c r="AQ54"/>
  <c r="AG54"/>
  <c r="AR54"/>
  <c r="AH54"/>
  <c r="AS54"/>
  <c r="AI54"/>
  <c r="AT54"/>
  <c r="AJ54"/>
  <c r="AU54"/>
  <c r="AK54"/>
  <c r="AV54"/>
  <c r="AL54"/>
  <c r="AO55"/>
  <c r="AE55"/>
  <c r="AP55"/>
  <c r="AF55"/>
  <c r="AQ55"/>
  <c r="AG55"/>
  <c r="AR55"/>
  <c r="AH55"/>
  <c r="AS55"/>
  <c r="AI55"/>
  <c r="AT55"/>
  <c r="AJ55"/>
  <c r="AU55"/>
  <c r="AK55"/>
  <c r="AV55"/>
  <c r="AL55"/>
  <c r="AO56"/>
  <c r="AE56"/>
  <c r="AP56"/>
  <c r="AF56"/>
  <c r="AQ56"/>
  <c r="AG56"/>
  <c r="AR56"/>
  <c r="AH56"/>
  <c r="AS56"/>
  <c r="AI56"/>
  <c r="AT56"/>
  <c r="AJ56"/>
  <c r="AU56"/>
  <c r="AK56"/>
  <c r="AV56"/>
  <c r="AL56"/>
  <c r="AO57"/>
  <c r="AE57"/>
  <c r="AP57"/>
  <c r="AF57"/>
  <c r="AQ57"/>
  <c r="AG57"/>
  <c r="AR57"/>
  <c r="AH57"/>
  <c r="AS57"/>
  <c r="AI57"/>
  <c r="AT57"/>
  <c r="AJ57"/>
  <c r="AU57"/>
  <c r="AK57"/>
  <c r="AV57"/>
  <c r="AL57"/>
  <c r="AO58"/>
  <c r="AE58"/>
  <c r="AP58"/>
  <c r="AF58"/>
  <c r="AQ58"/>
  <c r="AG58"/>
  <c r="AR58"/>
  <c r="AH58"/>
  <c r="AS58"/>
  <c r="AI58"/>
  <c r="AT58"/>
  <c r="AJ58"/>
  <c r="AU58"/>
  <c r="AK58"/>
  <c r="AV58"/>
  <c r="AL58"/>
  <c r="AO59"/>
  <c r="AE59"/>
  <c r="AP59"/>
  <c r="AF59"/>
  <c r="AQ59"/>
  <c r="AG59"/>
  <c r="AR59"/>
  <c r="AH59"/>
  <c r="AS59"/>
  <c r="AI59"/>
  <c r="AT59"/>
  <c r="AJ59"/>
  <c r="AU59"/>
  <c r="AK59"/>
  <c r="AV59"/>
  <c r="AL59"/>
  <c r="AO60"/>
  <c r="AE60"/>
  <c r="AP60"/>
  <c r="AF60"/>
  <c r="AQ60"/>
  <c r="AG60"/>
  <c r="AR60"/>
  <c r="AH60"/>
  <c r="AS60"/>
  <c r="AI60"/>
  <c r="AT60"/>
  <c r="AJ60"/>
  <c r="AU60"/>
  <c r="AK60"/>
  <c r="AV60"/>
  <c r="AL60"/>
  <c r="AO61"/>
  <c r="AE61"/>
  <c r="AP61"/>
  <c r="AF61"/>
  <c r="AQ61"/>
  <c r="AG61"/>
  <c r="AR61"/>
  <c r="AH61"/>
  <c r="AS61"/>
  <c r="AI61"/>
  <c r="AT61"/>
  <c r="AJ61"/>
  <c r="AU61"/>
  <c r="AK61"/>
  <c r="AV61"/>
  <c r="AL61"/>
  <c r="AO62"/>
  <c r="AE62"/>
  <c r="AP62"/>
  <c r="AF62"/>
  <c r="AQ62"/>
  <c r="AG62"/>
  <c r="AR62"/>
  <c r="AH62"/>
  <c r="AS62"/>
  <c r="AI62"/>
  <c r="AT62"/>
  <c r="AJ62"/>
  <c r="AU62"/>
  <c r="AK62"/>
  <c r="AV62"/>
  <c r="AL62"/>
  <c r="AO63"/>
  <c r="AE63"/>
  <c r="AP63"/>
  <c r="AF63"/>
  <c r="AQ63"/>
  <c r="AG63"/>
  <c r="AR63"/>
  <c r="AH63"/>
  <c r="AS63"/>
  <c r="AI63"/>
  <c r="AT63"/>
  <c r="AJ63"/>
  <c r="AU63"/>
  <c r="AK63"/>
  <c r="AV63"/>
  <c r="AL63"/>
  <c r="AO64"/>
  <c r="AE64"/>
  <c r="AP64"/>
  <c r="AF64"/>
  <c r="AQ64"/>
  <c r="AG64"/>
  <c r="AR64"/>
  <c r="AH64"/>
  <c r="AS64"/>
  <c r="AI64"/>
  <c r="AT64"/>
  <c r="AJ64"/>
  <c r="AU64"/>
  <c r="AK64"/>
  <c r="AV64"/>
  <c r="AL64"/>
  <c r="AO65"/>
  <c r="AE65"/>
  <c r="AP65"/>
  <c r="AF65"/>
  <c r="AQ65"/>
  <c r="AG65"/>
  <c r="AR65"/>
  <c r="AH65"/>
  <c r="AS65"/>
  <c r="AI65"/>
  <c r="AT65"/>
  <c r="AJ65"/>
  <c r="AU65"/>
  <c r="AK65"/>
  <c r="AV65"/>
  <c r="AL65"/>
  <c r="AO66"/>
  <c r="AE66"/>
  <c r="AP66"/>
  <c r="AF66"/>
  <c r="AQ66"/>
  <c r="AG66"/>
  <c r="AR66"/>
  <c r="AH66"/>
  <c r="AS66"/>
  <c r="AI66"/>
  <c r="AT66"/>
  <c r="AJ66"/>
  <c r="AU66"/>
  <c r="AK66"/>
  <c r="AV66"/>
  <c r="AL66"/>
  <c r="AO67"/>
  <c r="AE67"/>
  <c r="AP67"/>
  <c r="AF67"/>
  <c r="AQ67"/>
  <c r="AG67"/>
  <c r="AR67"/>
  <c r="AH67"/>
  <c r="AS67"/>
  <c r="AI67"/>
  <c r="AT67"/>
  <c r="AJ67"/>
  <c r="AU67"/>
  <c r="AK67"/>
  <c r="AV67"/>
  <c r="AL67"/>
  <c r="AO68"/>
  <c r="AE68"/>
  <c r="AP68"/>
  <c r="AF68"/>
  <c r="AQ68"/>
  <c r="AG68"/>
  <c r="AR68"/>
  <c r="AH68"/>
  <c r="AS68"/>
  <c r="AI68"/>
  <c r="AT68"/>
  <c r="AJ68"/>
  <c r="AU68"/>
  <c r="AK68"/>
  <c r="AV68"/>
  <c r="AL68"/>
  <c r="AO69"/>
  <c r="AE69"/>
  <c r="AP69"/>
  <c r="AF69"/>
  <c r="AQ69"/>
  <c r="AG69"/>
  <c r="AR69"/>
  <c r="AH69"/>
  <c r="AS69"/>
  <c r="AI69"/>
  <c r="AT69"/>
  <c r="AJ69"/>
  <c r="AU69"/>
  <c r="AK69"/>
  <c r="AV69"/>
  <c r="AL69"/>
  <c r="AO70"/>
  <c r="AE70"/>
  <c r="AP70"/>
  <c r="AF70"/>
  <c r="AQ70"/>
  <c r="AG70"/>
  <c r="AR70"/>
  <c r="AH70"/>
  <c r="AS70"/>
  <c r="AI70"/>
  <c r="AT70"/>
  <c r="AJ70"/>
  <c r="AU70"/>
  <c r="AK70"/>
  <c r="AV70"/>
  <c r="AL70"/>
  <c r="AO71"/>
  <c r="AE71"/>
  <c r="AP71"/>
  <c r="AF71"/>
  <c r="AQ71"/>
  <c r="AG71"/>
  <c r="AR71"/>
  <c r="AH71"/>
  <c r="AS71"/>
  <c r="AI71"/>
  <c r="AT71"/>
  <c r="AJ71"/>
  <c r="AU71"/>
  <c r="AK71"/>
  <c r="AV71"/>
  <c r="AL71"/>
  <c r="AO72"/>
  <c r="AE72"/>
  <c r="AP72"/>
  <c r="AF72"/>
  <c r="AQ72"/>
  <c r="AG72"/>
  <c r="AR72"/>
  <c r="AH72"/>
  <c r="AS72"/>
  <c r="AI72"/>
  <c r="AT72"/>
  <c r="AJ72"/>
  <c r="AU72"/>
  <c r="AK72"/>
  <c r="AV72"/>
  <c r="AL72"/>
  <c r="AO73"/>
  <c r="AE73"/>
  <c r="AP73"/>
  <c r="AF73"/>
  <c r="AQ73"/>
  <c r="AG73"/>
  <c r="AR73"/>
  <c r="AH73"/>
  <c r="AS73"/>
  <c r="AI73"/>
  <c r="AT73"/>
  <c r="AJ73"/>
  <c r="AU73"/>
  <c r="AK73"/>
  <c r="AV73"/>
  <c r="AL73"/>
  <c r="AO74"/>
  <c r="AE74"/>
  <c r="AP74"/>
  <c r="AF74"/>
  <c r="AQ74"/>
  <c r="AG74"/>
  <c r="AR74"/>
  <c r="AH74"/>
  <c r="AS74"/>
  <c r="AI74"/>
  <c r="AT74"/>
  <c r="AJ74"/>
  <c r="AU74"/>
  <c r="AK74"/>
  <c r="AV74"/>
  <c r="AL74"/>
  <c r="AO75"/>
  <c r="AE75"/>
  <c r="AP75"/>
  <c r="AF75"/>
  <c r="AQ75"/>
  <c r="AG75"/>
  <c r="AR75"/>
  <c r="AH75"/>
  <c r="AS75"/>
  <c r="AI75"/>
  <c r="AT75"/>
  <c r="AJ75"/>
  <c r="AU75"/>
  <c r="AK75"/>
  <c r="AV75"/>
  <c r="AL75"/>
  <c r="AO76"/>
  <c r="AE76"/>
  <c r="AP76"/>
  <c r="AF76"/>
  <c r="AQ76"/>
  <c r="AG76"/>
  <c r="AR76"/>
  <c r="AH76"/>
  <c r="AS76"/>
  <c r="AI76"/>
  <c r="AT76"/>
  <c r="AJ76"/>
  <c r="AU76"/>
  <c r="AK76"/>
  <c r="AV76"/>
  <c r="AL76"/>
  <c r="AO77"/>
  <c r="AE77"/>
  <c r="AP77"/>
  <c r="AF77"/>
  <c r="AQ77"/>
  <c r="AG77"/>
  <c r="AR77"/>
  <c r="AH77"/>
  <c r="AS77"/>
  <c r="AI77"/>
  <c r="AT77"/>
  <c r="AJ77"/>
  <c r="AU77"/>
  <c r="AK77"/>
  <c r="AV77"/>
  <c r="AL77"/>
  <c r="AO78"/>
  <c r="AE78"/>
  <c r="AP78"/>
  <c r="AF78"/>
  <c r="AQ78"/>
  <c r="AG78"/>
  <c r="AR78"/>
  <c r="AH78"/>
  <c r="AS78"/>
  <c r="AI78"/>
  <c r="AT78"/>
  <c r="AJ78"/>
  <c r="AU78"/>
  <c r="AK78"/>
  <c r="AV78"/>
  <c r="AL78"/>
  <c r="AO79"/>
  <c r="AE79"/>
  <c r="AP79"/>
  <c r="AF79"/>
  <c r="AQ79"/>
  <c r="AG79"/>
  <c r="AR79"/>
  <c r="AH79"/>
  <c r="AS79"/>
  <c r="AI79"/>
  <c r="AT79"/>
  <c r="AJ79"/>
  <c r="AU79"/>
  <c r="AK79"/>
  <c r="AV79"/>
  <c r="AL79"/>
  <c r="AO80"/>
  <c r="AE80"/>
  <c r="AP80"/>
  <c r="AF80"/>
  <c r="AQ80"/>
  <c r="AG80"/>
  <c r="AR80"/>
  <c r="AH80"/>
  <c r="AS80"/>
  <c r="AI80"/>
  <c r="AT80"/>
  <c r="AJ80"/>
  <c r="AU80"/>
  <c r="AK80"/>
  <c r="AV80"/>
  <c r="AL80"/>
  <c r="AO81"/>
  <c r="AE81"/>
  <c r="AP81"/>
  <c r="AF81"/>
  <c r="AQ81"/>
  <c r="AG81"/>
  <c r="AR81"/>
  <c r="AH81"/>
  <c r="AS81"/>
  <c r="AI81"/>
  <c r="AT81"/>
  <c r="AJ81"/>
  <c r="AU81"/>
  <c r="AK81"/>
  <c r="AV81"/>
  <c r="AL81"/>
  <c r="AO82"/>
  <c r="AE82"/>
  <c r="AP82"/>
  <c r="AF82"/>
  <c r="AQ82"/>
  <c r="AG82"/>
  <c r="AR82"/>
  <c r="AH82"/>
  <c r="AS82"/>
  <c r="AI82"/>
  <c r="AT82"/>
  <c r="AJ82"/>
  <c r="AU82"/>
  <c r="AK82"/>
  <c r="AV82"/>
  <c r="AL82"/>
  <c r="AO83"/>
  <c r="AE83"/>
  <c r="AP83"/>
  <c r="AF83"/>
  <c r="AQ83"/>
  <c r="AG83"/>
  <c r="AR83"/>
  <c r="AH83"/>
  <c r="AS83"/>
  <c r="AI83"/>
  <c r="AT83"/>
  <c r="AJ83"/>
  <c r="AU83"/>
  <c r="AK83"/>
  <c r="AV83"/>
  <c r="AL83"/>
  <c r="AO84"/>
  <c r="AE84"/>
  <c r="AP84"/>
  <c r="AF84"/>
  <c r="AQ84"/>
  <c r="AG84"/>
  <c r="AR84"/>
  <c r="AH84"/>
  <c r="AS84"/>
  <c r="AI84"/>
  <c r="AT84"/>
  <c r="AJ84"/>
  <c r="AU84"/>
  <c r="AK84"/>
  <c r="AV84"/>
  <c r="AL84"/>
  <c r="AO85"/>
  <c r="AE85"/>
  <c r="AP85"/>
  <c r="AF85"/>
  <c r="AQ85"/>
  <c r="AG85"/>
  <c r="AR85"/>
  <c r="AH85"/>
  <c r="AS85"/>
  <c r="AI85"/>
  <c r="AT85"/>
  <c r="AJ85"/>
  <c r="AU85"/>
  <c r="AK85"/>
  <c r="AV85"/>
  <c r="AL85"/>
  <c r="AO86"/>
  <c r="AE86"/>
  <c r="AP86"/>
  <c r="AF86"/>
  <c r="AQ86"/>
  <c r="AG86"/>
  <c r="AR86"/>
  <c r="AH86"/>
  <c r="AS86"/>
  <c r="AI86"/>
  <c r="AT86"/>
  <c r="AJ86"/>
  <c r="AU86"/>
  <c r="AK86"/>
  <c r="AV86"/>
  <c r="AL86"/>
  <c r="AO87"/>
  <c r="AE87"/>
  <c r="AP87"/>
  <c r="AF87"/>
  <c r="AQ87"/>
  <c r="AG87"/>
  <c r="AR87"/>
  <c r="AH87"/>
  <c r="AS87"/>
  <c r="AI87"/>
  <c r="AT87"/>
  <c r="AJ87"/>
  <c r="AU87"/>
  <c r="AK87"/>
  <c r="AV87"/>
  <c r="AL87"/>
  <c r="AO88"/>
  <c r="AE88"/>
  <c r="AP88"/>
  <c r="AF88"/>
  <c r="AQ88"/>
  <c r="AG88"/>
  <c r="AR88"/>
  <c r="AH88"/>
  <c r="AS88"/>
  <c r="AI88"/>
  <c r="AT88"/>
  <c r="AJ88"/>
  <c r="AU88"/>
  <c r="AK88"/>
  <c r="AV88"/>
  <c r="AL88"/>
  <c r="AO89"/>
  <c r="AE89"/>
  <c r="AP89"/>
  <c r="AF89"/>
  <c r="AQ89"/>
  <c r="AG89"/>
  <c r="AR89"/>
  <c r="AH89"/>
  <c r="AS89"/>
  <c r="AI89"/>
  <c r="AT89"/>
  <c r="AJ89"/>
  <c r="AU89"/>
  <c r="AK89"/>
  <c r="AV89"/>
  <c r="AL89"/>
  <c r="AO90"/>
  <c r="AE90"/>
  <c r="AP90"/>
  <c r="AF90"/>
  <c r="AQ90"/>
  <c r="AG90"/>
  <c r="AR90"/>
  <c r="AH90"/>
  <c r="AS90"/>
  <c r="AI90"/>
  <c r="AT90"/>
  <c r="AJ90"/>
  <c r="AU90"/>
  <c r="AK90"/>
  <c r="AV90"/>
  <c r="AL90"/>
  <c r="AO91"/>
  <c r="AE91"/>
  <c r="AP91"/>
  <c r="AF91"/>
  <c r="AQ91"/>
  <c r="AG91"/>
  <c r="AR91"/>
  <c r="AH91"/>
  <c r="AS91"/>
  <c r="AI91"/>
  <c r="AT91"/>
  <c r="AJ91"/>
  <c r="AU91"/>
  <c r="AK91"/>
  <c r="AV91"/>
  <c r="AL91"/>
  <c r="AO92"/>
  <c r="AE92"/>
  <c r="AP92"/>
  <c r="AF92"/>
  <c r="AQ92"/>
  <c r="AG92"/>
  <c r="AR92"/>
  <c r="AH92"/>
  <c r="AS92"/>
  <c r="AI92"/>
  <c r="AT92"/>
  <c r="AJ92"/>
  <c r="AU92"/>
  <c r="AK92"/>
  <c r="AV92"/>
  <c r="AL92"/>
  <c r="AO93"/>
  <c r="AE93"/>
  <c r="AP93"/>
  <c r="AF93"/>
  <c r="AQ93"/>
  <c r="AG93"/>
  <c r="AR93"/>
  <c r="AH93"/>
  <c r="AS93"/>
  <c r="AI93"/>
  <c r="AT93"/>
  <c r="AJ93"/>
  <c r="AU93"/>
  <c r="AK93"/>
  <c r="AV93"/>
  <c r="AL93"/>
  <c r="AO94"/>
  <c r="AE94"/>
  <c r="AP94"/>
  <c r="AF94"/>
  <c r="AQ94"/>
  <c r="AG94"/>
  <c r="AR94"/>
  <c r="AH94"/>
  <c r="AS94"/>
  <c r="AI94"/>
  <c r="AT94"/>
  <c r="AJ94"/>
  <c r="AU94"/>
  <c r="AK94"/>
  <c r="AV94"/>
  <c r="AL94"/>
  <c r="AO95"/>
  <c r="AE95"/>
  <c r="AP95"/>
  <c r="AF95"/>
  <c r="AQ95"/>
  <c r="AG95"/>
  <c r="AR95"/>
  <c r="AH95"/>
  <c r="AS95"/>
  <c r="AI95"/>
  <c r="AT95"/>
  <c r="AJ95"/>
  <c r="AU95"/>
  <c r="AK95"/>
  <c r="AV95"/>
  <c r="AL95"/>
  <c r="AO96"/>
  <c r="AE96"/>
  <c r="AP96"/>
  <c r="AF96"/>
  <c r="AQ96"/>
  <c r="AG96"/>
  <c r="AR96"/>
  <c r="AH96"/>
  <c r="AS96"/>
  <c r="AI96"/>
  <c r="AT96"/>
  <c r="AJ96"/>
  <c r="AU96"/>
  <c r="AK96"/>
  <c r="AV96"/>
  <c r="AL96"/>
  <c r="AO97"/>
  <c r="AE97"/>
  <c r="AP97"/>
  <c r="AF97"/>
  <c r="AQ97"/>
  <c r="AG97"/>
  <c r="AR97"/>
  <c r="AH97"/>
  <c r="AS97"/>
  <c r="AI97"/>
  <c r="AT97"/>
  <c r="AJ97"/>
  <c r="AU97"/>
  <c r="AK97"/>
  <c r="AV97"/>
  <c r="AL97"/>
  <c r="AO98"/>
  <c r="AE98"/>
  <c r="AP98"/>
  <c r="AF98"/>
  <c r="AQ98"/>
  <c r="AG98"/>
  <c r="AR98"/>
  <c r="AH98"/>
  <c r="AS98"/>
  <c r="AI98"/>
  <c r="AT98"/>
  <c r="AJ98"/>
  <c r="AU98"/>
  <c r="AK98"/>
  <c r="AV98"/>
  <c r="AL98"/>
  <c r="AO99"/>
  <c r="AE99"/>
  <c r="AP99"/>
  <c r="AF99"/>
  <c r="AQ99"/>
  <c r="AG99"/>
  <c r="AR99"/>
  <c r="AH99"/>
  <c r="AS99"/>
  <c r="AI99"/>
  <c r="AT99"/>
  <c r="AJ99"/>
  <c r="AU99"/>
  <c r="AK99"/>
  <c r="AV99"/>
  <c r="AL99"/>
  <c r="AO100"/>
  <c r="AE100"/>
  <c r="AP100"/>
  <c r="AF100"/>
  <c r="AQ100"/>
  <c r="AG100"/>
  <c r="AR100"/>
  <c r="AH100"/>
  <c r="AS100"/>
  <c r="AI100"/>
  <c r="AT100"/>
  <c r="AJ100"/>
  <c r="AU100"/>
  <c r="AK100"/>
  <c r="AV100"/>
  <c r="AL100"/>
  <c r="AO101"/>
  <c r="AE101"/>
  <c r="AP101"/>
  <c r="AF101"/>
  <c r="AQ101"/>
  <c r="AG101"/>
  <c r="AR101"/>
  <c r="AH101"/>
  <c r="AS101"/>
  <c r="AI101"/>
  <c r="AT101"/>
  <c r="AJ101"/>
  <c r="AU101"/>
  <c r="AK101"/>
  <c r="AV101"/>
  <c r="AL101"/>
  <c r="AO102"/>
  <c r="AE102"/>
  <c r="AP102"/>
  <c r="AF102"/>
  <c r="AQ102"/>
  <c r="AG102"/>
  <c r="AR102"/>
  <c r="AH102"/>
  <c r="AS102"/>
  <c r="AI102"/>
  <c r="AT102"/>
  <c r="AJ102"/>
  <c r="AU102"/>
  <c r="AK102"/>
  <c r="AV102"/>
  <c r="AL102"/>
  <c r="AO103"/>
  <c r="AE103"/>
  <c r="AP103"/>
  <c r="AF103"/>
  <c r="AQ103"/>
  <c r="AG103"/>
  <c r="AR103"/>
  <c r="AH103"/>
  <c r="AS103"/>
  <c r="AI103"/>
  <c r="AT103"/>
  <c r="AJ103"/>
  <c r="AU103"/>
  <c r="AK103"/>
  <c r="AV103"/>
  <c r="AL103"/>
  <c r="AO104"/>
  <c r="AE104"/>
  <c r="AP104"/>
  <c r="AF104"/>
  <c r="AQ104"/>
  <c r="AG104"/>
  <c r="AR104"/>
  <c r="AH104"/>
  <c r="AS104"/>
  <c r="AI104"/>
  <c r="AT104"/>
  <c r="AJ104"/>
  <c r="AU104"/>
  <c r="AK104"/>
  <c r="AV104"/>
  <c r="AL104"/>
  <c r="AO105"/>
  <c r="AE105"/>
  <c r="AP105"/>
  <c r="AF105"/>
  <c r="AQ105"/>
  <c r="AG105"/>
  <c r="AR105"/>
  <c r="AH105"/>
  <c r="AS105"/>
  <c r="AI105"/>
  <c r="AT105"/>
  <c r="AJ105"/>
  <c r="AU105"/>
  <c r="AK105"/>
  <c r="AV105"/>
  <c r="AL105"/>
  <c r="AO106"/>
  <c r="AE106"/>
  <c r="AP106"/>
  <c r="AF106"/>
  <c r="AQ106"/>
  <c r="AG106"/>
  <c r="AR106"/>
  <c r="AH106"/>
  <c r="AS106"/>
  <c r="AI106"/>
  <c r="AT106"/>
  <c r="AJ106"/>
  <c r="AU106"/>
  <c r="AK106"/>
  <c r="AV106"/>
  <c r="AL106"/>
  <c r="AO107"/>
  <c r="AE107"/>
  <c r="AP107"/>
  <c r="AF107"/>
  <c r="AQ107"/>
  <c r="AG107"/>
  <c r="AR107"/>
  <c r="AH107"/>
  <c r="AS107"/>
  <c r="AI107"/>
  <c r="AT107"/>
  <c r="AJ107"/>
  <c r="AU107"/>
  <c r="AK107"/>
  <c r="AV107"/>
  <c r="AL107"/>
  <c r="AO108"/>
  <c r="AE108"/>
  <c r="AP108"/>
  <c r="AF108"/>
  <c r="AQ108"/>
  <c r="AG108"/>
  <c r="AR108"/>
  <c r="AH108"/>
  <c r="AS108"/>
  <c r="AI108"/>
  <c r="AT108"/>
  <c r="AJ108"/>
  <c r="AU108"/>
  <c r="AK108"/>
  <c r="AV108"/>
  <c r="AL108"/>
  <c r="AO109"/>
  <c r="AE109"/>
  <c r="AP109"/>
  <c r="AF109"/>
  <c r="AQ109"/>
  <c r="AG109"/>
  <c r="AR109"/>
  <c r="AH109"/>
  <c r="AS109"/>
  <c r="AI109"/>
  <c r="AT109"/>
  <c r="AJ109"/>
  <c r="AU109"/>
  <c r="AK109"/>
  <c r="AV109"/>
  <c r="AL109"/>
  <c r="AO110"/>
  <c r="AE110"/>
  <c r="AP110"/>
  <c r="AF110"/>
  <c r="AQ110"/>
  <c r="AG110"/>
  <c r="AR110"/>
  <c r="AH110"/>
  <c r="AS110"/>
  <c r="AI110"/>
  <c r="AT110"/>
  <c r="AJ110"/>
  <c r="AU110"/>
  <c r="AK110"/>
  <c r="AV110"/>
  <c r="AL110"/>
  <c r="AO111"/>
  <c r="AE111"/>
  <c r="AP111"/>
  <c r="AF111"/>
  <c r="AQ111"/>
  <c r="AG111"/>
  <c r="AR111"/>
  <c r="AH111"/>
  <c r="AS111"/>
  <c r="AI111"/>
  <c r="AT111"/>
  <c r="AJ111"/>
  <c r="AU111"/>
  <c r="AK111"/>
  <c r="AV111"/>
  <c r="AL111"/>
  <c r="AO112"/>
  <c r="AE112"/>
  <c r="AP112"/>
  <c r="AF112"/>
  <c r="AQ112"/>
  <c r="AG112"/>
  <c r="AR112"/>
  <c r="AH112"/>
  <c r="AS112"/>
  <c r="AI112"/>
  <c r="AT112"/>
  <c r="AJ112"/>
  <c r="AU112"/>
  <c r="AK112"/>
  <c r="AV112"/>
  <c r="AL112"/>
  <c r="AO113"/>
  <c r="AE113"/>
  <c r="AP113"/>
  <c r="AF113"/>
  <c r="AQ113"/>
  <c r="AG113"/>
  <c r="AR113"/>
  <c r="AH113"/>
  <c r="AS113"/>
  <c r="AI113"/>
  <c r="AT113"/>
  <c r="AJ113"/>
  <c r="AU113"/>
  <c r="AK113"/>
  <c r="AV113"/>
  <c r="AL113"/>
  <c r="AO114"/>
  <c r="AE114"/>
  <c r="AP114"/>
  <c r="AF114"/>
  <c r="AQ114"/>
  <c r="AG114"/>
  <c r="AR114"/>
  <c r="AH114"/>
  <c r="AS114"/>
  <c r="AI114"/>
  <c r="AT114"/>
  <c r="AJ114"/>
  <c r="AU114"/>
  <c r="AK114"/>
  <c r="AV114"/>
  <c r="AL114"/>
  <c r="AO115"/>
  <c r="AE115"/>
  <c r="AP115"/>
  <c r="AF115"/>
  <c r="AQ115"/>
  <c r="AG115"/>
  <c r="AR115"/>
  <c r="AH115"/>
  <c r="AS115"/>
  <c r="AI115"/>
  <c r="AT115"/>
  <c r="AJ115"/>
  <c r="AU115"/>
  <c r="AK115"/>
  <c r="AV115"/>
  <c r="AL115"/>
  <c r="AO116"/>
  <c r="AE116"/>
  <c r="AP116"/>
  <c r="AF116"/>
  <c r="AQ116"/>
  <c r="AG116"/>
  <c r="AR116"/>
  <c r="AH116"/>
  <c r="AS116"/>
  <c r="AI116"/>
  <c r="AT116"/>
  <c r="AJ116"/>
  <c r="AU116"/>
  <c r="AK116"/>
  <c r="AV116"/>
  <c r="AL116"/>
  <c r="AO117"/>
  <c r="AE117"/>
  <c r="AP117"/>
  <c r="AF117"/>
  <c r="AQ117"/>
  <c r="AG117"/>
  <c r="AR117"/>
  <c r="AH117"/>
  <c r="AS117"/>
  <c r="AI117"/>
  <c r="AT117"/>
  <c r="AJ117"/>
  <c r="AU117"/>
  <c r="AK117"/>
  <c r="AV117"/>
  <c r="AL117"/>
  <c r="AE118"/>
  <c r="AF118"/>
  <c r="AG118"/>
  <c r="AH118"/>
  <c r="AI118"/>
  <c r="AJ118"/>
  <c r="AK118"/>
  <c r="AL118"/>
  <c r="AW118"/>
  <c r="AM118"/>
  <c r="AO119"/>
  <c r="AE119"/>
  <c r="AP119"/>
  <c r="AF119"/>
  <c r="AQ119"/>
  <c r="AG119"/>
  <c r="AR119"/>
  <c r="AH119"/>
  <c r="AS119"/>
  <c r="AI119"/>
  <c r="AT119"/>
  <c r="AJ119"/>
  <c r="AU119"/>
  <c r="AK119"/>
  <c r="AV119"/>
  <c r="AL119"/>
  <c r="AW119"/>
  <c r="AM119"/>
  <c r="AO120"/>
  <c r="AE120"/>
  <c r="AP120"/>
  <c r="AF120"/>
  <c r="AQ120"/>
  <c r="AG120"/>
  <c r="AR120"/>
  <c r="AH120"/>
  <c r="AS120"/>
  <c r="AI120"/>
  <c r="AT120"/>
  <c r="AJ120"/>
  <c r="AU120"/>
  <c r="AK120"/>
  <c r="AV120"/>
  <c r="AL120"/>
  <c r="AW120"/>
  <c r="AM120"/>
  <c r="AO121"/>
  <c r="AE121"/>
  <c r="AP121"/>
  <c r="AF121"/>
  <c r="AQ121"/>
  <c r="AG121"/>
  <c r="AR121"/>
  <c r="AH121"/>
  <c r="AS121"/>
  <c r="AI121"/>
  <c r="AT121"/>
  <c r="AJ121"/>
  <c r="AU121"/>
  <c r="AK121"/>
  <c r="AV121"/>
  <c r="AL121"/>
  <c r="AW121"/>
  <c r="AM121"/>
  <c r="AO122"/>
  <c r="AE122"/>
  <c r="AP122"/>
  <c r="AF122"/>
  <c r="AQ122"/>
  <c r="AG122"/>
  <c r="AR122"/>
  <c r="AH122"/>
  <c r="AS122"/>
  <c r="AI122"/>
  <c r="AT122"/>
  <c r="AJ122"/>
  <c r="AU122"/>
  <c r="AK122"/>
  <c r="AV122"/>
  <c r="AL122"/>
  <c r="AW122"/>
  <c r="AM122"/>
  <c r="AO123"/>
  <c r="AE123"/>
  <c r="AP123"/>
  <c r="AF123"/>
  <c r="AQ123"/>
  <c r="AG123"/>
  <c r="AR123"/>
  <c r="AH123"/>
  <c r="AS123"/>
  <c r="AI123"/>
  <c r="AT123"/>
  <c r="AJ123"/>
  <c r="AU123"/>
  <c r="AK123"/>
  <c r="AV123"/>
  <c r="AL123"/>
  <c r="AW123"/>
  <c r="AM123"/>
  <c r="AO124"/>
  <c r="AE124"/>
  <c r="AP124"/>
  <c r="AF124"/>
  <c r="AQ124"/>
  <c r="AG124"/>
  <c r="AR124"/>
  <c r="AH124"/>
  <c r="AS124"/>
  <c r="AI124"/>
  <c r="AT124"/>
  <c r="AJ124"/>
  <c r="AU124"/>
  <c r="AK124"/>
  <c r="AV124"/>
  <c r="AL124"/>
  <c r="AW124"/>
  <c r="AM124"/>
  <c r="AO125"/>
  <c r="AE125"/>
  <c r="AP125"/>
  <c r="AF125"/>
  <c r="AQ125"/>
  <c r="AG125"/>
  <c r="AR125"/>
  <c r="AH125"/>
  <c r="AS125"/>
  <c r="AI125"/>
  <c r="AT125"/>
  <c r="AJ125"/>
  <c r="AU125"/>
  <c r="AK125"/>
  <c r="AV125"/>
  <c r="AL125"/>
  <c r="AW125"/>
  <c r="AM125"/>
  <c r="AO126"/>
  <c r="AE126"/>
  <c r="AP126"/>
  <c r="AF126"/>
  <c r="AQ126"/>
  <c r="AG126"/>
  <c r="AR126"/>
  <c r="AH126"/>
  <c r="AS126"/>
  <c r="AI126"/>
  <c r="AT126"/>
  <c r="AJ126"/>
  <c r="AU126"/>
  <c r="AK126"/>
  <c r="AV126"/>
  <c r="AL126"/>
  <c r="AW126"/>
  <c r="AM126"/>
  <c r="AO127"/>
  <c r="AE127"/>
  <c r="AP127"/>
  <c r="AF127"/>
  <c r="AQ127"/>
  <c r="AG127"/>
  <c r="AR127"/>
  <c r="AH127"/>
  <c r="AS127"/>
  <c r="AI127"/>
  <c r="AT127"/>
  <c r="AJ127"/>
  <c r="AU127"/>
  <c r="AK127"/>
  <c r="AV127"/>
  <c r="AL127"/>
  <c r="AW127"/>
  <c r="AM127"/>
  <c r="AO128"/>
  <c r="AE128"/>
  <c r="AP128"/>
  <c r="AF128"/>
  <c r="AQ128"/>
  <c r="AG128"/>
  <c r="AR128"/>
  <c r="AH128"/>
  <c r="AS128"/>
  <c r="AI128"/>
  <c r="AT128"/>
  <c r="AJ128"/>
  <c r="AU128"/>
  <c r="AK128"/>
  <c r="AV128"/>
  <c r="AL128"/>
  <c r="AW128"/>
  <c r="AM128"/>
  <c r="AO129"/>
  <c r="AE129"/>
  <c r="AP129"/>
  <c r="AF129"/>
  <c r="AQ129"/>
  <c r="AG129"/>
  <c r="AR129"/>
  <c r="AH129"/>
  <c r="AS129"/>
  <c r="AI129"/>
  <c r="AT129"/>
  <c r="AJ129"/>
  <c r="AU129"/>
  <c r="AK129"/>
  <c r="AV129"/>
  <c r="AL129"/>
  <c r="AW129"/>
  <c r="AM129"/>
  <c r="AO130"/>
  <c r="AE130"/>
  <c r="AP130"/>
  <c r="AF130"/>
  <c r="AQ130"/>
  <c r="AG130"/>
  <c r="AR130"/>
  <c r="AH130"/>
  <c r="AS130"/>
  <c r="AI130"/>
  <c r="AT130"/>
  <c r="AJ130"/>
  <c r="AU130"/>
  <c r="AK130"/>
  <c r="AV130"/>
  <c r="AL130"/>
  <c r="AW130"/>
  <c r="AM130"/>
  <c r="AO131"/>
  <c r="AE131"/>
  <c r="AP131"/>
  <c r="AF131"/>
  <c r="AQ131"/>
  <c r="AG131"/>
  <c r="AR131"/>
  <c r="AH131"/>
  <c r="AS131"/>
  <c r="AI131"/>
  <c r="AT131"/>
  <c r="AJ131"/>
  <c r="AU131"/>
  <c r="AK131"/>
  <c r="AV131"/>
  <c r="AL131"/>
  <c r="AW131"/>
  <c r="AM131"/>
  <c r="AO132"/>
  <c r="AE132"/>
  <c r="AP132"/>
  <c r="AF132"/>
  <c r="AQ132"/>
  <c r="AG132"/>
  <c r="AR132"/>
  <c r="AH132"/>
  <c r="AS132"/>
  <c r="AI132"/>
  <c r="AT132"/>
  <c r="AJ132"/>
  <c r="AU132"/>
  <c r="AK132"/>
  <c r="AV132"/>
  <c r="AL132"/>
  <c r="AW132"/>
  <c r="AM132"/>
  <c r="AO133"/>
  <c r="AE133"/>
  <c r="AP133"/>
  <c r="AF133"/>
  <c r="AQ133"/>
  <c r="AG133"/>
  <c r="AR133"/>
  <c r="AH133"/>
  <c r="AS133"/>
  <c r="AI133"/>
  <c r="AT133"/>
  <c r="AJ133"/>
  <c r="AU133"/>
  <c r="AK133"/>
  <c r="AV133"/>
  <c r="AL133"/>
  <c r="AW133"/>
  <c r="AM133"/>
  <c r="AO134"/>
  <c r="AE134"/>
  <c r="AP134"/>
  <c r="AF134"/>
  <c r="AQ134"/>
  <c r="AG134"/>
  <c r="AR134"/>
  <c r="AH134"/>
  <c r="AS134"/>
  <c r="AI134"/>
  <c r="AT134"/>
  <c r="AJ134"/>
  <c r="AU134"/>
  <c r="AK134"/>
  <c r="AV134"/>
  <c r="AL134"/>
  <c r="AW134"/>
  <c r="AM134"/>
  <c r="AO135"/>
  <c r="AE135"/>
  <c r="AP135"/>
  <c r="AF135"/>
  <c r="AQ135"/>
  <c r="AG135"/>
  <c r="AR135"/>
  <c r="AH135"/>
  <c r="AS135"/>
  <c r="AI135"/>
  <c r="AT135"/>
  <c r="AJ135"/>
  <c r="AU135"/>
  <c r="AK135"/>
  <c r="AV135"/>
  <c r="AL135"/>
  <c r="AW135"/>
  <c r="AM135"/>
  <c r="AO136"/>
  <c r="AE136"/>
  <c r="AP136"/>
  <c r="AF136"/>
  <c r="AQ136"/>
  <c r="AG136"/>
  <c r="AR136"/>
  <c r="AH136"/>
  <c r="AS136"/>
  <c r="AI136"/>
  <c r="AT136"/>
  <c r="AJ136"/>
  <c r="AU136"/>
  <c r="AK136"/>
  <c r="AV136"/>
  <c r="AL136"/>
  <c r="AW136"/>
  <c r="AM136"/>
  <c r="AO137"/>
  <c r="AE137"/>
  <c r="AP137"/>
  <c r="AF137"/>
  <c r="AQ137"/>
  <c r="AG137"/>
  <c r="AR137"/>
  <c r="AH137"/>
  <c r="AS137"/>
  <c r="AI137"/>
  <c r="AT137"/>
  <c r="AJ137"/>
  <c r="AU137"/>
  <c r="AK137"/>
  <c r="AV137"/>
  <c r="AL137"/>
  <c r="AW137"/>
  <c r="AM137"/>
  <c r="AO138"/>
  <c r="AE138"/>
  <c r="AP138"/>
  <c r="AF138"/>
  <c r="AQ138"/>
  <c r="AG138"/>
  <c r="AR138"/>
  <c r="AH138"/>
  <c r="AS138"/>
  <c r="AI138"/>
  <c r="AT138"/>
  <c r="AJ138"/>
  <c r="AU138"/>
  <c r="AK138"/>
  <c r="AV138"/>
  <c r="AL138"/>
  <c r="AW138"/>
  <c r="AM138"/>
  <c r="AO139"/>
  <c r="AE139"/>
  <c r="AP139"/>
  <c r="AF139"/>
  <c r="AQ139"/>
  <c r="AG139"/>
  <c r="AR139"/>
  <c r="AH139"/>
  <c r="AS139"/>
  <c r="AI139"/>
  <c r="AT139"/>
  <c r="AJ139"/>
  <c r="AU139"/>
  <c r="AK139"/>
  <c r="AV139"/>
  <c r="AL139"/>
  <c r="AW139"/>
  <c r="AM139"/>
  <c r="U118"/>
  <c r="U45"/>
  <c r="R139"/>
  <c r="S139"/>
  <c r="R131"/>
  <c r="S131"/>
  <c r="Q131"/>
  <c r="P131"/>
  <c r="Q121"/>
  <c r="P121"/>
  <c r="R121"/>
  <c r="O121"/>
  <c r="O113"/>
  <c r="P113"/>
  <c r="B121"/>
  <c r="B131"/>
  <c r="B139"/>
  <c r="R138"/>
  <c r="S138"/>
  <c r="B138"/>
  <c r="O112"/>
  <c r="P112"/>
  <c r="B112"/>
  <c r="B113"/>
  <c r="O114"/>
  <c r="P114"/>
  <c r="B114"/>
  <c r="O115"/>
  <c r="P115"/>
  <c r="B115"/>
  <c r="O116"/>
  <c r="P116"/>
  <c r="B116"/>
  <c r="O117"/>
  <c r="P117"/>
  <c r="B117"/>
  <c r="O118"/>
  <c r="Q118"/>
  <c r="P118"/>
  <c r="B118"/>
  <c r="O119"/>
  <c r="Q119"/>
  <c r="P119"/>
  <c r="B119"/>
  <c r="O120"/>
  <c r="Q120"/>
  <c r="P120"/>
  <c r="B120"/>
  <c r="O111"/>
  <c r="P111"/>
  <c r="B111"/>
  <c r="R132"/>
  <c r="S132"/>
  <c r="B132"/>
  <c r="Q123"/>
  <c r="P123"/>
  <c r="R123"/>
  <c r="B123"/>
  <c r="Q124"/>
  <c r="P124"/>
  <c r="R124"/>
  <c r="B124"/>
  <c r="Q125"/>
  <c r="P125"/>
  <c r="R125"/>
  <c r="B125"/>
  <c r="Q126"/>
  <c r="P126"/>
  <c r="R126"/>
  <c r="B126"/>
  <c r="Q127"/>
  <c r="P127"/>
  <c r="R127"/>
  <c r="B127"/>
  <c r="Q128"/>
  <c r="P128"/>
  <c r="R128"/>
  <c r="B128"/>
  <c r="Q129"/>
  <c r="P129"/>
  <c r="R129"/>
  <c r="B129"/>
  <c r="Q130"/>
  <c r="P130"/>
  <c r="R130"/>
  <c r="B130"/>
  <c r="Q122"/>
  <c r="P122"/>
  <c r="R122"/>
  <c r="B122"/>
  <c r="N101"/>
  <c r="O101"/>
  <c r="N111"/>
  <c r="B101"/>
  <c r="M91"/>
  <c r="N91"/>
  <c r="M101"/>
  <c r="B91"/>
  <c r="L81"/>
  <c r="M81"/>
  <c r="L91"/>
  <c r="B81"/>
  <c r="K71"/>
  <c r="L71"/>
  <c r="K81"/>
  <c r="B71"/>
  <c r="J61"/>
  <c r="K61"/>
  <c r="J71"/>
  <c r="B61"/>
  <c r="I51"/>
  <c r="J51"/>
  <c r="I61"/>
  <c r="B51"/>
  <c r="H41"/>
  <c r="I41"/>
  <c r="H51"/>
  <c r="B41"/>
  <c r="G32"/>
  <c r="G31"/>
  <c r="F31"/>
  <c r="F27"/>
  <c r="E27"/>
  <c r="E31"/>
  <c r="E32"/>
  <c r="H32"/>
  <c r="G41"/>
  <c r="E41"/>
  <c r="B32"/>
  <c r="G33"/>
  <c r="E33"/>
  <c r="H33"/>
  <c r="B33"/>
  <c r="G34"/>
  <c r="E34"/>
  <c r="H34"/>
  <c r="B34"/>
  <c r="G35"/>
  <c r="E35"/>
  <c r="H35"/>
  <c r="B35"/>
  <c r="G36"/>
  <c r="E36"/>
  <c r="H36"/>
  <c r="B36"/>
  <c r="G37"/>
  <c r="E37"/>
  <c r="H37"/>
  <c r="B37"/>
  <c r="G38"/>
  <c r="E38"/>
  <c r="H38"/>
  <c r="B38"/>
  <c r="G39"/>
  <c r="E39"/>
  <c r="H39"/>
  <c r="B39"/>
  <c r="G40"/>
  <c r="E40"/>
  <c r="H40"/>
  <c r="B40"/>
  <c r="H31"/>
  <c r="B31"/>
  <c r="E22"/>
  <c r="E23"/>
  <c r="E24"/>
  <c r="E25"/>
  <c r="E26"/>
  <c r="E21"/>
  <c r="F28"/>
  <c r="E28"/>
  <c r="D28"/>
  <c r="D31"/>
  <c r="B28"/>
  <c r="D27"/>
  <c r="B27"/>
  <c r="D21"/>
  <c r="B21"/>
  <c r="AC138"/>
  <c r="AB138"/>
  <c r="AA138"/>
  <c r="Z138"/>
  <c r="Y138"/>
  <c r="X138"/>
  <c r="W138"/>
  <c r="V138"/>
  <c r="U138"/>
  <c r="R137"/>
  <c r="S137"/>
  <c r="B137"/>
  <c r="AC137"/>
  <c r="AB137"/>
  <c r="AA137"/>
  <c r="Z137"/>
  <c r="Y137"/>
  <c r="X137"/>
  <c r="W137"/>
  <c r="V137"/>
  <c r="U137"/>
  <c r="R136"/>
  <c r="S136"/>
  <c r="B136"/>
  <c r="AC136"/>
  <c r="AB136"/>
  <c r="AA136"/>
  <c r="Z136"/>
  <c r="Y136"/>
  <c r="X136"/>
  <c r="W136"/>
  <c r="V136"/>
  <c r="U136"/>
  <c r="R135"/>
  <c r="S135"/>
  <c r="B135"/>
  <c r="AC135"/>
  <c r="AB135"/>
  <c r="AA135"/>
  <c r="Z135"/>
  <c r="Y135"/>
  <c r="X135"/>
  <c r="W135"/>
  <c r="V135"/>
  <c r="U135"/>
  <c r="R134"/>
  <c r="S134"/>
  <c r="B134"/>
  <c r="AC134"/>
  <c r="AB134"/>
  <c r="AA134"/>
  <c r="Z134"/>
  <c r="Y134"/>
  <c r="X134"/>
  <c r="W134"/>
  <c r="V134"/>
  <c r="U134"/>
  <c r="R133"/>
  <c r="S133"/>
  <c r="B133"/>
  <c r="AC133"/>
  <c r="AB133"/>
  <c r="AA133"/>
  <c r="Z133"/>
  <c r="Y133"/>
  <c r="X133"/>
  <c r="W133"/>
  <c r="V133"/>
  <c r="U133"/>
  <c r="AC132"/>
  <c r="AB132"/>
  <c r="AA132"/>
  <c r="Z132"/>
  <c r="Y132"/>
  <c r="X132"/>
  <c r="W132"/>
  <c r="V132"/>
  <c r="U132"/>
  <c r="AC130"/>
  <c r="AB130"/>
  <c r="AA130"/>
  <c r="Z130"/>
  <c r="Y130"/>
  <c r="X130"/>
  <c r="W130"/>
  <c r="V130"/>
  <c r="U130"/>
  <c r="AC129"/>
  <c r="AB129"/>
  <c r="AA129"/>
  <c r="Z129"/>
  <c r="Y129"/>
  <c r="X129"/>
  <c r="W129"/>
  <c r="V129"/>
  <c r="U129"/>
  <c r="AC128"/>
  <c r="AB128"/>
  <c r="AA128"/>
  <c r="Z128"/>
  <c r="Y128"/>
  <c r="X128"/>
  <c r="W128"/>
  <c r="V128"/>
  <c r="U128"/>
  <c r="AC127"/>
  <c r="AB127"/>
  <c r="AA127"/>
  <c r="Z127"/>
  <c r="Y127"/>
  <c r="X127"/>
  <c r="W127"/>
  <c r="V127"/>
  <c r="U127"/>
  <c r="AC126"/>
  <c r="AB126"/>
  <c r="AA126"/>
  <c r="Z126"/>
  <c r="Y126"/>
  <c r="X126"/>
  <c r="W126"/>
  <c r="V126"/>
  <c r="U126"/>
  <c r="AC125"/>
  <c r="AB125"/>
  <c r="AA125"/>
  <c r="Z125"/>
  <c r="Y125"/>
  <c r="X125"/>
  <c r="W125"/>
  <c r="V125"/>
  <c r="U125"/>
  <c r="AC124"/>
  <c r="AB124"/>
  <c r="AA124"/>
  <c r="Z124"/>
  <c r="Y124"/>
  <c r="X124"/>
  <c r="W124"/>
  <c r="V124"/>
  <c r="U124"/>
  <c r="AC123"/>
  <c r="AB123"/>
  <c r="AA123"/>
  <c r="Z123"/>
  <c r="Y123"/>
  <c r="X123"/>
  <c r="W123"/>
  <c r="V123"/>
  <c r="U123"/>
  <c r="AC122"/>
  <c r="AB122"/>
  <c r="AA122"/>
  <c r="Z122"/>
  <c r="Y122"/>
  <c r="X122"/>
  <c r="W122"/>
  <c r="V122"/>
  <c r="U122"/>
  <c r="AC120"/>
  <c r="AB120"/>
  <c r="AA120"/>
  <c r="Z120"/>
  <c r="Y120"/>
  <c r="X120"/>
  <c r="W120"/>
  <c r="V120"/>
  <c r="U120"/>
  <c r="AC119"/>
  <c r="AB119"/>
  <c r="AA119"/>
  <c r="Z119"/>
  <c r="Y119"/>
  <c r="X119"/>
  <c r="W119"/>
  <c r="V119"/>
  <c r="U119"/>
  <c r="AC118"/>
  <c r="AB118"/>
  <c r="AA118"/>
  <c r="Z118"/>
  <c r="Y118"/>
  <c r="X118"/>
  <c r="W118"/>
  <c r="V118"/>
  <c r="AC117"/>
  <c r="AB117"/>
  <c r="AA117"/>
  <c r="Z117"/>
  <c r="Y117"/>
  <c r="X117"/>
  <c r="W117"/>
  <c r="V117"/>
  <c r="U117"/>
  <c r="AC116"/>
  <c r="AB116"/>
  <c r="AA116"/>
  <c r="Z116"/>
  <c r="Y116"/>
  <c r="X116"/>
  <c r="W116"/>
  <c r="V116"/>
  <c r="U116"/>
  <c r="AC115"/>
  <c r="AB115"/>
  <c r="AA115"/>
  <c r="Z115"/>
  <c r="Y115"/>
  <c r="X115"/>
  <c r="W115"/>
  <c r="V115"/>
  <c r="U115"/>
  <c r="AC114"/>
  <c r="AB114"/>
  <c r="AA114"/>
  <c r="Z114"/>
  <c r="Y114"/>
  <c r="X114"/>
  <c r="W114"/>
  <c r="V114"/>
  <c r="U114"/>
  <c r="AC113"/>
  <c r="AB113"/>
  <c r="AA113"/>
  <c r="Z113"/>
  <c r="Y113"/>
  <c r="X113"/>
  <c r="W113"/>
  <c r="V113"/>
  <c r="U113"/>
  <c r="AC112"/>
  <c r="AB112"/>
  <c r="AA112"/>
  <c r="Z112"/>
  <c r="Y112"/>
  <c r="X112"/>
  <c r="W112"/>
  <c r="V112"/>
  <c r="U112"/>
  <c r="AC111"/>
  <c r="N110"/>
  <c r="O110"/>
  <c r="B110"/>
  <c r="AC110"/>
  <c r="AB110"/>
  <c r="AA110"/>
  <c r="Z110"/>
  <c r="Y110"/>
  <c r="X110"/>
  <c r="W110"/>
  <c r="V110"/>
  <c r="U110"/>
  <c r="N109"/>
  <c r="O109"/>
  <c r="B109"/>
  <c r="AC109"/>
  <c r="AB109"/>
  <c r="AA109"/>
  <c r="Z109"/>
  <c r="Y109"/>
  <c r="X109"/>
  <c r="W109"/>
  <c r="V109"/>
  <c r="U109"/>
  <c r="N108"/>
  <c r="O108"/>
  <c r="B108"/>
  <c r="AC108"/>
  <c r="AB108"/>
  <c r="AA108"/>
  <c r="Z108"/>
  <c r="Y108"/>
  <c r="X108"/>
  <c r="W108"/>
  <c r="V108"/>
  <c r="U108"/>
  <c r="N107"/>
  <c r="O107"/>
  <c r="B107"/>
  <c r="AC107"/>
  <c r="AB107"/>
  <c r="AA107"/>
  <c r="Z107"/>
  <c r="Y107"/>
  <c r="X107"/>
  <c r="W107"/>
  <c r="V107"/>
  <c r="U107"/>
  <c r="N106"/>
  <c r="O106"/>
  <c r="B106"/>
  <c r="AC106"/>
  <c r="AB106"/>
  <c r="AA106"/>
  <c r="Z106"/>
  <c r="Y106"/>
  <c r="X106"/>
  <c r="W106"/>
  <c r="V106"/>
  <c r="U106"/>
  <c r="N105"/>
  <c r="O105"/>
  <c r="B105"/>
  <c r="AC105"/>
  <c r="AB105"/>
  <c r="AA105"/>
  <c r="Z105"/>
  <c r="Y105"/>
  <c r="X105"/>
  <c r="W105"/>
  <c r="V105"/>
  <c r="U105"/>
  <c r="N104"/>
  <c r="O104"/>
  <c r="B104"/>
  <c r="AC104"/>
  <c r="AB104"/>
  <c r="AA104"/>
  <c r="Z104"/>
  <c r="Y104"/>
  <c r="X104"/>
  <c r="W104"/>
  <c r="V104"/>
  <c r="U104"/>
  <c r="N103"/>
  <c r="O103"/>
  <c r="B103"/>
  <c r="AC103"/>
  <c r="AB103"/>
  <c r="AA103"/>
  <c r="Z103"/>
  <c r="Y103"/>
  <c r="X103"/>
  <c r="W103"/>
  <c r="V103"/>
  <c r="U103"/>
  <c r="N102"/>
  <c r="O102"/>
  <c r="B102"/>
  <c r="AC102"/>
  <c r="AB102"/>
  <c r="AA102"/>
  <c r="Z102"/>
  <c r="Y102"/>
  <c r="X102"/>
  <c r="W102"/>
  <c r="V102"/>
  <c r="U102"/>
  <c r="AC101"/>
  <c r="M100"/>
  <c r="N100"/>
  <c r="B100"/>
  <c r="AC100"/>
  <c r="AB100"/>
  <c r="AA100"/>
  <c r="Z100"/>
  <c r="Y100"/>
  <c r="X100"/>
  <c r="W100"/>
  <c r="V100"/>
  <c r="U100"/>
  <c r="M99"/>
  <c r="N99"/>
  <c r="B99"/>
  <c r="AC99"/>
  <c r="AB99"/>
  <c r="AA99"/>
  <c r="Z99"/>
  <c r="Y99"/>
  <c r="X99"/>
  <c r="W99"/>
  <c r="V99"/>
  <c r="U99"/>
  <c r="M98"/>
  <c r="N98"/>
  <c r="B98"/>
  <c r="AC98"/>
  <c r="AB98"/>
  <c r="AA98"/>
  <c r="Z98"/>
  <c r="Y98"/>
  <c r="X98"/>
  <c r="W98"/>
  <c r="V98"/>
  <c r="U98"/>
  <c r="M97"/>
  <c r="N97"/>
  <c r="B97"/>
  <c r="AC97"/>
  <c r="AB97"/>
  <c r="AA97"/>
  <c r="Z97"/>
  <c r="Y97"/>
  <c r="X97"/>
  <c r="W97"/>
  <c r="V97"/>
  <c r="U97"/>
  <c r="M96"/>
  <c r="N96"/>
  <c r="B96"/>
  <c r="AC96"/>
  <c r="AB96"/>
  <c r="AA96"/>
  <c r="Z96"/>
  <c r="Y96"/>
  <c r="X96"/>
  <c r="W96"/>
  <c r="V96"/>
  <c r="U96"/>
  <c r="M95"/>
  <c r="N95"/>
  <c r="B95"/>
  <c r="AC95"/>
  <c r="AB95"/>
  <c r="AA95"/>
  <c r="Z95"/>
  <c r="Y95"/>
  <c r="X95"/>
  <c r="W95"/>
  <c r="V95"/>
  <c r="U95"/>
  <c r="M94"/>
  <c r="N94"/>
  <c r="B94"/>
  <c r="AC94"/>
  <c r="AB94"/>
  <c r="AA94"/>
  <c r="Z94"/>
  <c r="Y94"/>
  <c r="X94"/>
  <c r="W94"/>
  <c r="V94"/>
  <c r="U94"/>
  <c r="M93"/>
  <c r="N93"/>
  <c r="B93"/>
  <c r="AC93"/>
  <c r="AB93"/>
  <c r="AA93"/>
  <c r="Z93"/>
  <c r="Y93"/>
  <c r="X93"/>
  <c r="W93"/>
  <c r="V93"/>
  <c r="U93"/>
  <c r="M92"/>
  <c r="N92"/>
  <c r="B92"/>
  <c r="AC92"/>
  <c r="AB92"/>
  <c r="AA92"/>
  <c r="Z92"/>
  <c r="Y92"/>
  <c r="X92"/>
  <c r="W92"/>
  <c r="V92"/>
  <c r="U92"/>
  <c r="AC91"/>
  <c r="L90"/>
  <c r="M90"/>
  <c r="B90"/>
  <c r="AC90"/>
  <c r="AB90"/>
  <c r="AA90"/>
  <c r="Z90"/>
  <c r="Y90"/>
  <c r="X90"/>
  <c r="W90"/>
  <c r="V90"/>
  <c r="U90"/>
  <c r="L89"/>
  <c r="M89"/>
  <c r="B89"/>
  <c r="AC89"/>
  <c r="AB89"/>
  <c r="AA89"/>
  <c r="Z89"/>
  <c r="Y89"/>
  <c r="X89"/>
  <c r="W89"/>
  <c r="V89"/>
  <c r="U89"/>
  <c r="L88"/>
  <c r="M88"/>
  <c r="B88"/>
  <c r="AC88"/>
  <c r="AB88"/>
  <c r="AA88"/>
  <c r="Z88"/>
  <c r="Y88"/>
  <c r="X88"/>
  <c r="W88"/>
  <c r="V88"/>
  <c r="U88"/>
  <c r="L87"/>
  <c r="M87"/>
  <c r="B87"/>
  <c r="AC87"/>
  <c r="AB87"/>
  <c r="AA87"/>
  <c r="Z87"/>
  <c r="Y87"/>
  <c r="X87"/>
  <c r="W87"/>
  <c r="V87"/>
  <c r="U87"/>
  <c r="L86"/>
  <c r="M86"/>
  <c r="B86"/>
  <c r="AC86"/>
  <c r="AB86"/>
  <c r="AA86"/>
  <c r="Z86"/>
  <c r="Y86"/>
  <c r="X86"/>
  <c r="W86"/>
  <c r="V86"/>
  <c r="U86"/>
  <c r="L85"/>
  <c r="M85"/>
  <c r="B85"/>
  <c r="AC85"/>
  <c r="AB85"/>
  <c r="AA85"/>
  <c r="Z85"/>
  <c r="Y85"/>
  <c r="X85"/>
  <c r="W85"/>
  <c r="V85"/>
  <c r="U85"/>
  <c r="L84"/>
  <c r="M84"/>
  <c r="B84"/>
  <c r="AC84"/>
  <c r="AB84"/>
  <c r="AA84"/>
  <c r="Z84"/>
  <c r="Y84"/>
  <c r="X84"/>
  <c r="W84"/>
  <c r="V84"/>
  <c r="U84"/>
  <c r="L83"/>
  <c r="M83"/>
  <c r="B83"/>
  <c r="AC83"/>
  <c r="AB83"/>
  <c r="AA83"/>
  <c r="Z83"/>
  <c r="Y83"/>
  <c r="X83"/>
  <c r="W83"/>
  <c r="V83"/>
  <c r="U83"/>
  <c r="L82"/>
  <c r="M82"/>
  <c r="B82"/>
  <c r="AC82"/>
  <c r="AB82"/>
  <c r="AA82"/>
  <c r="Z82"/>
  <c r="Y82"/>
  <c r="X82"/>
  <c r="W82"/>
  <c r="V82"/>
  <c r="U82"/>
  <c r="AC81"/>
  <c r="K80"/>
  <c r="L80"/>
  <c r="B80"/>
  <c r="AC80"/>
  <c r="AB80"/>
  <c r="AA80"/>
  <c r="Z80"/>
  <c r="Y80"/>
  <c r="X80"/>
  <c r="W80"/>
  <c r="V80"/>
  <c r="U80"/>
  <c r="K79"/>
  <c r="L79"/>
  <c r="B79"/>
  <c r="AC79"/>
  <c r="AB79"/>
  <c r="AA79"/>
  <c r="Z79"/>
  <c r="Y79"/>
  <c r="X79"/>
  <c r="W79"/>
  <c r="V79"/>
  <c r="U79"/>
  <c r="K78"/>
  <c r="L78"/>
  <c r="B78"/>
  <c r="AC78"/>
  <c r="AB78"/>
  <c r="AA78"/>
  <c r="Z78"/>
  <c r="Y78"/>
  <c r="X78"/>
  <c r="W78"/>
  <c r="V78"/>
  <c r="U78"/>
  <c r="K77"/>
  <c r="L77"/>
  <c r="B77"/>
  <c r="AC77"/>
  <c r="AB77"/>
  <c r="AA77"/>
  <c r="Z77"/>
  <c r="Y77"/>
  <c r="X77"/>
  <c r="W77"/>
  <c r="V77"/>
  <c r="U77"/>
  <c r="K76"/>
  <c r="L76"/>
  <c r="B76"/>
  <c r="AC76"/>
  <c r="AB76"/>
  <c r="AA76"/>
  <c r="Z76"/>
  <c r="Y76"/>
  <c r="X76"/>
  <c r="W76"/>
  <c r="V76"/>
  <c r="U76"/>
  <c r="K75"/>
  <c r="L75"/>
  <c r="B75"/>
  <c r="AC75"/>
  <c r="AB75"/>
  <c r="AA75"/>
  <c r="Z75"/>
  <c r="Y75"/>
  <c r="X75"/>
  <c r="W75"/>
  <c r="V75"/>
  <c r="U75"/>
  <c r="K74"/>
  <c r="L74"/>
  <c r="B74"/>
  <c r="AC74"/>
  <c r="AB74"/>
  <c r="AA74"/>
  <c r="Z74"/>
  <c r="Y74"/>
  <c r="X74"/>
  <c r="W74"/>
  <c r="V74"/>
  <c r="U74"/>
  <c r="K73"/>
  <c r="L73"/>
  <c r="B73"/>
  <c r="AC73"/>
  <c r="AB73"/>
  <c r="AA73"/>
  <c r="Z73"/>
  <c r="Y73"/>
  <c r="X73"/>
  <c r="W73"/>
  <c r="V73"/>
  <c r="U73"/>
  <c r="K72"/>
  <c r="L72"/>
  <c r="B72"/>
  <c r="AC72"/>
  <c r="AB72"/>
  <c r="AA72"/>
  <c r="Z72"/>
  <c r="Y72"/>
  <c r="X72"/>
  <c r="W72"/>
  <c r="V72"/>
  <c r="U72"/>
  <c r="AC71"/>
  <c r="J70"/>
  <c r="K70"/>
  <c r="B70"/>
  <c r="AC70"/>
  <c r="AB70"/>
  <c r="AA70"/>
  <c r="Z70"/>
  <c r="Y70"/>
  <c r="X70"/>
  <c r="W70"/>
  <c r="V70"/>
  <c r="U70"/>
  <c r="J69"/>
  <c r="K69"/>
  <c r="B69"/>
  <c r="AC69"/>
  <c r="AB69"/>
  <c r="AA69"/>
  <c r="Z69"/>
  <c r="Y69"/>
  <c r="X69"/>
  <c r="W69"/>
  <c r="V69"/>
  <c r="U69"/>
  <c r="J68"/>
  <c r="K68"/>
  <c r="B68"/>
  <c r="AC68"/>
  <c r="AB68"/>
  <c r="AA68"/>
  <c r="Z68"/>
  <c r="Y68"/>
  <c r="X68"/>
  <c r="W68"/>
  <c r="V68"/>
  <c r="U68"/>
  <c r="J67"/>
  <c r="K67"/>
  <c r="B67"/>
  <c r="AC67"/>
  <c r="AB67"/>
  <c r="AA67"/>
  <c r="Z67"/>
  <c r="Y67"/>
  <c r="X67"/>
  <c r="W67"/>
  <c r="V67"/>
  <c r="U67"/>
  <c r="J66"/>
  <c r="K66"/>
  <c r="B66"/>
  <c r="AC66"/>
  <c r="AB66"/>
  <c r="AA66"/>
  <c r="Z66"/>
  <c r="Y66"/>
  <c r="X66"/>
  <c r="W66"/>
  <c r="V66"/>
  <c r="U66"/>
  <c r="J65"/>
  <c r="K65"/>
  <c r="B65"/>
  <c r="AC65"/>
  <c r="AB65"/>
  <c r="AA65"/>
  <c r="Z65"/>
  <c r="Y65"/>
  <c r="X65"/>
  <c r="W65"/>
  <c r="V65"/>
  <c r="U65"/>
  <c r="J64"/>
  <c r="K64"/>
  <c r="B64"/>
  <c r="AC64"/>
  <c r="AB64"/>
  <c r="AA64"/>
  <c r="Z64"/>
  <c r="Y64"/>
  <c r="X64"/>
  <c r="W64"/>
  <c r="V64"/>
  <c r="U64"/>
  <c r="J63"/>
  <c r="K63"/>
  <c r="B63"/>
  <c r="AC63"/>
  <c r="AB63"/>
  <c r="AA63"/>
  <c r="Z63"/>
  <c r="Y63"/>
  <c r="X63"/>
  <c r="W63"/>
  <c r="V63"/>
  <c r="U63"/>
  <c r="J62"/>
  <c r="K62"/>
  <c r="B62"/>
  <c r="AC62"/>
  <c r="AB62"/>
  <c r="AA62"/>
  <c r="Z62"/>
  <c r="Y62"/>
  <c r="X62"/>
  <c r="W62"/>
  <c r="V62"/>
  <c r="U62"/>
  <c r="AC61"/>
  <c r="I60"/>
  <c r="J60"/>
  <c r="B60"/>
  <c r="AC60"/>
  <c r="AB60"/>
  <c r="AA60"/>
  <c r="Z60"/>
  <c r="Y60"/>
  <c r="X60"/>
  <c r="W60"/>
  <c r="V60"/>
  <c r="U60"/>
  <c r="I59"/>
  <c r="J59"/>
  <c r="B59"/>
  <c r="AC59"/>
  <c r="AB59"/>
  <c r="AA59"/>
  <c r="Z59"/>
  <c r="Y59"/>
  <c r="X59"/>
  <c r="W59"/>
  <c r="V59"/>
  <c r="U59"/>
  <c r="I58"/>
  <c r="J58"/>
  <c r="B58"/>
  <c r="AC58"/>
  <c r="AB58"/>
  <c r="AA58"/>
  <c r="Z58"/>
  <c r="Y58"/>
  <c r="X58"/>
  <c r="W58"/>
  <c r="V58"/>
  <c r="U58"/>
  <c r="I57"/>
  <c r="J57"/>
  <c r="B57"/>
  <c r="AC57"/>
  <c r="AB57"/>
  <c r="AA57"/>
  <c r="Z57"/>
  <c r="Y57"/>
  <c r="X57"/>
  <c r="W57"/>
  <c r="V57"/>
  <c r="U57"/>
  <c r="I56"/>
  <c r="J56"/>
  <c r="B56"/>
  <c r="AC56"/>
  <c r="AB56"/>
  <c r="AA56"/>
  <c r="Z56"/>
  <c r="Y56"/>
  <c r="X56"/>
  <c r="W56"/>
  <c r="V56"/>
  <c r="U56"/>
  <c r="I55"/>
  <c r="J55"/>
  <c r="B55"/>
  <c r="AC55"/>
  <c r="AB55"/>
  <c r="AA55"/>
  <c r="Z55"/>
  <c r="Y55"/>
  <c r="X55"/>
  <c r="W55"/>
  <c r="V55"/>
  <c r="U55"/>
  <c r="I54"/>
  <c r="J54"/>
  <c r="B54"/>
  <c r="AC54"/>
  <c r="AB54"/>
  <c r="AA54"/>
  <c r="Z54"/>
  <c r="Y54"/>
  <c r="X54"/>
  <c r="W54"/>
  <c r="V54"/>
  <c r="U54"/>
  <c r="I53"/>
  <c r="J53"/>
  <c r="B53"/>
  <c r="AC53"/>
  <c r="AB53"/>
  <c r="AA53"/>
  <c r="Z53"/>
  <c r="Y53"/>
  <c r="X53"/>
  <c r="W53"/>
  <c r="V53"/>
  <c r="U53"/>
  <c r="I52"/>
  <c r="J52"/>
  <c r="B52"/>
  <c r="AC52"/>
  <c r="AB52"/>
  <c r="AA52"/>
  <c r="Z52"/>
  <c r="Y52"/>
  <c r="X52"/>
  <c r="W52"/>
  <c r="V52"/>
  <c r="U52"/>
  <c r="AC51"/>
  <c r="H50"/>
  <c r="I50"/>
  <c r="B50"/>
  <c r="AC50"/>
  <c r="AB50"/>
  <c r="AA50"/>
  <c r="Z50"/>
  <c r="Y50"/>
  <c r="X50"/>
  <c r="W50"/>
  <c r="V50"/>
  <c r="U50"/>
  <c r="H49"/>
  <c r="I49"/>
  <c r="B49"/>
  <c r="AC49"/>
  <c r="AB49"/>
  <c r="AA49"/>
  <c r="Z49"/>
  <c r="Y49"/>
  <c r="X49"/>
  <c r="W49"/>
  <c r="V49"/>
  <c r="U49"/>
  <c r="H48"/>
  <c r="I48"/>
  <c r="B48"/>
  <c r="AC48"/>
  <c r="AB48"/>
  <c r="AA48"/>
  <c r="Z48"/>
  <c r="Y48"/>
  <c r="X48"/>
  <c r="W48"/>
  <c r="V48"/>
  <c r="U48"/>
  <c r="H47"/>
  <c r="I47"/>
  <c r="B47"/>
  <c r="AC47"/>
  <c r="AB47"/>
  <c r="AA47"/>
  <c r="Z47"/>
  <c r="Y47"/>
  <c r="X47"/>
  <c r="W47"/>
  <c r="V47"/>
  <c r="U47"/>
  <c r="H46"/>
  <c r="I46"/>
  <c r="B46"/>
  <c r="AC46"/>
  <c r="AB46"/>
  <c r="AA46"/>
  <c r="Z46"/>
  <c r="Y46"/>
  <c r="X46"/>
  <c r="W46"/>
  <c r="V46"/>
  <c r="U46"/>
  <c r="H45"/>
  <c r="I45"/>
  <c r="B45"/>
  <c r="AC45"/>
  <c r="AB45"/>
  <c r="AA45"/>
  <c r="Z45"/>
  <c r="Y45"/>
  <c r="X45"/>
  <c r="W45"/>
  <c r="V45"/>
  <c r="H44"/>
  <c r="I44"/>
  <c r="B44"/>
  <c r="AC44"/>
  <c r="AB44"/>
  <c r="AA44"/>
  <c r="Z44"/>
  <c r="Y44"/>
  <c r="X44"/>
  <c r="W44"/>
  <c r="V44"/>
  <c r="U44"/>
  <c r="H43"/>
  <c r="I43"/>
  <c r="B43"/>
  <c r="AC43"/>
  <c r="AB43"/>
  <c r="AA43"/>
  <c r="Z43"/>
  <c r="Y43"/>
  <c r="X43"/>
  <c r="W43"/>
  <c r="V43"/>
  <c r="U43"/>
  <c r="H42"/>
  <c r="I42"/>
  <c r="B42"/>
  <c r="AC42"/>
  <c r="AB42"/>
  <c r="AA42"/>
  <c r="Z42"/>
  <c r="Y42"/>
  <c r="X42"/>
  <c r="W42"/>
  <c r="V42"/>
  <c r="U42"/>
  <c r="AC41"/>
  <c r="AC40"/>
  <c r="AB40"/>
  <c r="AA40"/>
  <c r="Z40"/>
  <c r="Y40"/>
  <c r="X40"/>
  <c r="W40"/>
  <c r="V40"/>
  <c r="U40"/>
  <c r="AC39"/>
  <c r="AB39"/>
  <c r="AA39"/>
  <c r="Z39"/>
  <c r="Y39"/>
  <c r="X39"/>
  <c r="W39"/>
  <c r="V39"/>
  <c r="U39"/>
  <c r="AC38"/>
  <c r="AB38"/>
  <c r="AA38"/>
  <c r="Z38"/>
  <c r="Y38"/>
  <c r="X38"/>
  <c r="W38"/>
  <c r="V38"/>
  <c r="U38"/>
  <c r="AC37"/>
  <c r="AB37"/>
  <c r="AA37"/>
  <c r="Z37"/>
  <c r="Y37"/>
  <c r="X37"/>
  <c r="W37"/>
  <c r="V37"/>
  <c r="U37"/>
  <c r="AC36"/>
  <c r="AB36"/>
  <c r="AA36"/>
  <c r="Z36"/>
  <c r="Y36"/>
  <c r="X36"/>
  <c r="W36"/>
  <c r="V36"/>
  <c r="U36"/>
  <c r="AC35"/>
  <c r="AB35"/>
  <c r="AA35"/>
  <c r="Z35"/>
  <c r="Y35"/>
  <c r="X35"/>
  <c r="W35"/>
  <c r="V35"/>
  <c r="U35"/>
  <c r="AC34"/>
  <c r="AB34"/>
  <c r="AA34"/>
  <c r="Z34"/>
  <c r="Y34"/>
  <c r="X34"/>
  <c r="W34"/>
  <c r="V34"/>
  <c r="U34"/>
  <c r="AC33"/>
  <c r="AB33"/>
  <c r="AA33"/>
  <c r="Z33"/>
  <c r="Y33"/>
  <c r="X33"/>
  <c r="W33"/>
  <c r="V33"/>
  <c r="U33"/>
  <c r="AC32"/>
  <c r="AB32"/>
  <c r="AA32"/>
  <c r="Z32"/>
  <c r="Y32"/>
  <c r="X32"/>
  <c r="W32"/>
  <c r="V32"/>
  <c r="U32"/>
  <c r="AC31"/>
  <c r="D30"/>
  <c r="F30"/>
  <c r="E30"/>
  <c r="B30"/>
  <c r="AC30"/>
  <c r="AB30"/>
  <c r="AA30"/>
  <c r="Z30"/>
  <c r="Y30"/>
  <c r="X30"/>
  <c r="W30"/>
  <c r="V30"/>
  <c r="U30"/>
  <c r="D29"/>
  <c r="F29"/>
  <c r="E29"/>
  <c r="B29"/>
  <c r="AC29"/>
  <c r="AB29"/>
  <c r="AA29"/>
  <c r="Z29"/>
  <c r="Y29"/>
  <c r="X29"/>
  <c r="W29"/>
  <c r="V29"/>
  <c r="U29"/>
  <c r="AC28"/>
  <c r="AB28"/>
  <c r="AA28"/>
  <c r="Z28"/>
  <c r="Y28"/>
  <c r="X28"/>
  <c r="W28"/>
  <c r="V28"/>
  <c r="U28"/>
  <c r="AC27"/>
  <c r="AB27"/>
  <c r="AA27"/>
  <c r="Z27"/>
  <c r="Y27"/>
  <c r="X27"/>
  <c r="W27"/>
  <c r="V27"/>
  <c r="U27"/>
  <c r="D26"/>
  <c r="B26"/>
  <c r="AC26"/>
  <c r="AB26"/>
  <c r="AA26"/>
  <c r="Z26"/>
  <c r="Y26"/>
  <c r="X26"/>
  <c r="W26"/>
  <c r="V26"/>
  <c r="U26"/>
  <c r="D25"/>
  <c r="B25"/>
  <c r="AC25"/>
  <c r="AB25"/>
  <c r="AA25"/>
  <c r="Z25"/>
  <c r="Y25"/>
  <c r="X25"/>
  <c r="W25"/>
  <c r="V25"/>
  <c r="U25"/>
  <c r="D24"/>
  <c r="B24"/>
  <c r="AC24"/>
  <c r="AB24"/>
  <c r="AA24"/>
  <c r="Z24"/>
  <c r="Y24"/>
  <c r="X24"/>
  <c r="W24"/>
  <c r="V24"/>
  <c r="U24"/>
  <c r="D23"/>
  <c r="B23"/>
  <c r="AC23"/>
  <c r="AB23"/>
  <c r="AA23"/>
  <c r="Z23"/>
  <c r="Y23"/>
  <c r="X23"/>
  <c r="W23"/>
  <c r="V23"/>
  <c r="U23"/>
  <c r="D22"/>
  <c r="B22"/>
  <c r="AC22"/>
  <c r="AB22"/>
  <c r="AA22"/>
  <c r="Z22"/>
  <c r="Y22"/>
  <c r="X22"/>
  <c r="W22"/>
  <c r="V22"/>
  <c r="U22"/>
  <c r="AC21"/>
  <c r="A4"/>
  <c r="A7"/>
  <c r="A8"/>
  <c r="A9"/>
  <c r="A10"/>
  <c r="A11"/>
  <c r="A12"/>
  <c r="A13"/>
  <c r="A14"/>
  <c r="A15"/>
  <c r="A17"/>
  <c r="P2"/>
  <c r="R2"/>
  <c r="V208" i="5"/>
  <c r="V209"/>
  <c r="V210"/>
  <c r="V211"/>
  <c r="V212"/>
  <c r="V213"/>
  <c r="V214"/>
  <c r="V215"/>
  <c r="V216"/>
  <c r="V217"/>
  <c r="V218"/>
  <c r="V219"/>
  <c r="J21"/>
  <c r="J20"/>
  <c r="V256"/>
  <c r="V257"/>
  <c r="V258"/>
  <c r="V259"/>
  <c r="V260"/>
  <c r="V261"/>
  <c r="V262"/>
  <c r="V263"/>
  <c r="V264"/>
  <c r="V265"/>
  <c r="V266"/>
  <c r="V237"/>
  <c r="V220"/>
  <c r="V141"/>
  <c r="V142"/>
  <c r="N206"/>
  <c r="N207"/>
  <c r="N208"/>
  <c r="N209"/>
  <c r="N210"/>
  <c r="N10"/>
  <c r="N142"/>
  <c r="B21"/>
  <c r="A5"/>
  <c r="B4"/>
  <c r="H12"/>
  <c r="G12"/>
  <c r="J12"/>
  <c r="H8"/>
  <c r="G8"/>
  <c r="J8"/>
  <c r="J4"/>
  <c r="H26"/>
  <c r="G26"/>
  <c r="J26"/>
  <c r="D12"/>
  <c r="B12"/>
  <c r="D8"/>
  <c r="B8"/>
  <c r="D4"/>
  <c r="E26"/>
  <c r="F26"/>
  <c r="E15"/>
  <c r="F15"/>
  <c r="D15"/>
  <c r="B26"/>
  <c r="E17"/>
  <c r="F17"/>
  <c r="E18"/>
  <c r="F18"/>
  <c r="E19"/>
  <c r="F19"/>
  <c r="E20"/>
  <c r="F20"/>
  <c r="E21"/>
  <c r="F21"/>
  <c r="E22"/>
  <c r="F22"/>
  <c r="E23"/>
  <c r="F23"/>
  <c r="E24"/>
  <c r="F24"/>
  <c r="E25"/>
  <c r="F25"/>
  <c r="E16"/>
  <c r="F16"/>
  <c r="C5"/>
  <c r="D5"/>
  <c r="J5"/>
  <c r="C6"/>
  <c r="D6"/>
  <c r="J6"/>
  <c r="C7"/>
  <c r="D7"/>
  <c r="J7"/>
  <c r="C8"/>
  <c r="I8"/>
  <c r="C9"/>
  <c r="D9"/>
  <c r="G9"/>
  <c r="H9"/>
  <c r="I9"/>
  <c r="J9"/>
  <c r="C10"/>
  <c r="D10"/>
  <c r="G10"/>
  <c r="H10"/>
  <c r="I10"/>
  <c r="J10"/>
  <c r="C11"/>
  <c r="D11"/>
  <c r="G11"/>
  <c r="H11"/>
  <c r="I11"/>
  <c r="J11"/>
  <c r="C12"/>
  <c r="I12"/>
  <c r="C13"/>
  <c r="D13"/>
  <c r="G13"/>
  <c r="H13"/>
  <c r="I13"/>
  <c r="J13"/>
  <c r="C14"/>
  <c r="D14"/>
  <c r="G14"/>
  <c r="H14"/>
  <c r="I14"/>
  <c r="J14"/>
  <c r="C15"/>
  <c r="G15"/>
  <c r="H15"/>
  <c r="I15"/>
  <c r="J15"/>
  <c r="C16"/>
  <c r="G16"/>
  <c r="H16"/>
  <c r="I16"/>
  <c r="J16"/>
  <c r="C17"/>
  <c r="G17"/>
  <c r="H17"/>
  <c r="I17"/>
  <c r="J17"/>
  <c r="C18"/>
  <c r="G18"/>
  <c r="H18"/>
  <c r="I18"/>
  <c r="J18"/>
  <c r="C19"/>
  <c r="G19"/>
  <c r="H19"/>
  <c r="I19"/>
  <c r="J19"/>
  <c r="C20"/>
  <c r="G20"/>
  <c r="H20"/>
  <c r="I20"/>
  <c r="C21"/>
  <c r="G21"/>
  <c r="H21"/>
  <c r="I21"/>
  <c r="C22"/>
  <c r="G22"/>
  <c r="H22"/>
  <c r="I22"/>
  <c r="J22"/>
  <c r="C23"/>
  <c r="G23"/>
  <c r="H23"/>
  <c r="J23"/>
  <c r="C24"/>
  <c r="G24"/>
  <c r="H24"/>
  <c r="J24"/>
  <c r="C25"/>
  <c r="G25"/>
  <c r="H25"/>
  <c r="J25"/>
  <c r="C26"/>
  <c r="G27"/>
  <c r="H27"/>
  <c r="J27"/>
  <c r="B7"/>
  <c r="B9"/>
  <c r="B10"/>
  <c r="B11"/>
  <c r="B13"/>
  <c r="B14"/>
  <c r="B15"/>
  <c r="B16"/>
  <c r="B17"/>
  <c r="B18"/>
  <c r="B19"/>
  <c r="B20"/>
  <c r="B22"/>
  <c r="B23"/>
  <c r="B24"/>
  <c r="B25"/>
  <c r="B6"/>
  <c r="B5"/>
  <c r="A6"/>
  <c r="A7"/>
  <c r="A8"/>
  <c r="A9"/>
  <c r="A10"/>
  <c r="A11"/>
  <c r="A12"/>
  <c r="A13"/>
  <c r="A14"/>
  <c r="A15"/>
  <c r="A16"/>
  <c r="A17"/>
  <c r="A18"/>
  <c r="A19"/>
  <c r="A20"/>
  <c r="A21"/>
  <c r="A22"/>
  <c r="A23"/>
  <c r="A24"/>
  <c r="A25"/>
  <c r="A26"/>
  <c r="L16"/>
  <c r="L28"/>
  <c r="L40"/>
  <c r="L52"/>
  <c r="L64"/>
  <c r="L76"/>
  <c r="L88"/>
  <c r="L100"/>
  <c r="L112"/>
  <c r="L124"/>
  <c r="L136"/>
  <c r="L148"/>
  <c r="L160"/>
  <c r="L172"/>
  <c r="L184"/>
  <c r="L196"/>
  <c r="L208"/>
  <c r="L220"/>
  <c r="L232"/>
  <c r="L244"/>
  <c r="L256"/>
  <c r="L268"/>
  <c r="L280"/>
  <c r="AK40" i="7"/>
  <c r="B40"/>
  <c r="AW40"/>
  <c r="G40"/>
  <c r="BC40"/>
  <c r="I40"/>
  <c r="AT40"/>
  <c r="F40"/>
  <c r="AZ40"/>
  <c r="H40"/>
  <c r="AW33"/>
  <c r="G33"/>
  <c r="BC33"/>
  <c r="I33"/>
  <c r="AT33"/>
  <c r="F33"/>
  <c r="AZ33"/>
  <c r="H33"/>
  <c r="BO50"/>
  <c r="N50"/>
  <c r="BF50"/>
  <c r="J50"/>
  <c r="AK50"/>
  <c r="B50"/>
  <c r="AN50"/>
  <c r="D50"/>
  <c r="AW50"/>
  <c r="G50"/>
  <c r="BC50"/>
  <c r="I50"/>
  <c r="AT50"/>
  <c r="F50"/>
  <c r="AZ50"/>
  <c r="H50"/>
  <c r="AQ50"/>
  <c r="E50"/>
  <c r="AK41"/>
  <c r="B41"/>
  <c r="AW41"/>
  <c r="G41"/>
  <c r="BC41"/>
  <c r="I41"/>
  <c r="AT41"/>
  <c r="F41"/>
  <c r="AZ41"/>
  <c r="H41"/>
  <c r="AK42"/>
  <c r="B42"/>
  <c r="AW42"/>
  <c r="G42"/>
  <c r="BC42"/>
  <c r="I42"/>
  <c r="AT42"/>
  <c r="F42"/>
  <c r="AZ42"/>
  <c r="H42"/>
  <c r="AK43"/>
  <c r="B43"/>
  <c r="AW43"/>
  <c r="G43"/>
  <c r="BC43"/>
  <c r="I43"/>
  <c r="AT43"/>
  <c r="F43"/>
  <c r="AZ43"/>
  <c r="H43"/>
  <c r="AK44"/>
  <c r="B44"/>
  <c r="AW44"/>
  <c r="G44"/>
  <c r="BC44"/>
  <c r="I44"/>
  <c r="AT44"/>
  <c r="F44"/>
  <c r="AZ44"/>
  <c r="H44"/>
  <c r="AK45"/>
  <c r="B45"/>
  <c r="AW45"/>
  <c r="G45"/>
  <c r="BC45"/>
  <c r="I45"/>
  <c r="AT45"/>
  <c r="F45"/>
  <c r="AZ45"/>
  <c r="H45"/>
  <c r="AK46"/>
  <c r="B46"/>
  <c r="AW46"/>
  <c r="G46"/>
  <c r="BC46"/>
  <c r="I46"/>
  <c r="AT46"/>
  <c r="F46"/>
  <c r="AZ46"/>
  <c r="H46"/>
  <c r="BO47"/>
  <c r="N47"/>
  <c r="BF47"/>
  <c r="J47"/>
  <c r="AK47"/>
  <c r="B47"/>
  <c r="AN47"/>
  <c r="D47"/>
  <c r="AW47"/>
  <c r="G47"/>
  <c r="BC47"/>
  <c r="I47"/>
  <c r="AT47"/>
  <c r="F47"/>
  <c r="AZ47"/>
  <c r="H47"/>
  <c r="AQ47"/>
  <c r="E47"/>
  <c r="BO48"/>
  <c r="N48"/>
  <c r="BF48"/>
  <c r="J48"/>
  <c r="AK48"/>
  <c r="B48"/>
  <c r="AN48"/>
  <c r="D48"/>
  <c r="AW48"/>
  <c r="G48"/>
  <c r="BC48"/>
  <c r="I48"/>
  <c r="AT48"/>
  <c r="F48"/>
  <c r="AZ48"/>
  <c r="H48"/>
  <c r="AQ48"/>
  <c r="E48"/>
  <c r="BO49"/>
  <c r="N49"/>
  <c r="BF49"/>
  <c r="J49"/>
  <c r="AK49"/>
  <c r="B49"/>
  <c r="AN49"/>
  <c r="D49"/>
  <c r="AW49"/>
  <c r="G49"/>
  <c r="BC49"/>
  <c r="I49"/>
  <c r="AT49"/>
  <c r="F49"/>
  <c r="AZ49"/>
  <c r="H49"/>
  <c r="AQ49"/>
  <c r="E49"/>
  <c r="AW36"/>
  <c r="G36"/>
  <c r="BC36"/>
  <c r="I36"/>
  <c r="AT36"/>
  <c r="F36"/>
  <c r="AZ36"/>
  <c r="H36"/>
  <c r="BI50"/>
  <c r="L50"/>
  <c r="BL50"/>
  <c r="M50"/>
  <c r="BI53"/>
  <c r="L53"/>
  <c r="BL53"/>
  <c r="M53"/>
  <c r="BO53"/>
  <c r="N53"/>
  <c r="BF53"/>
  <c r="J53"/>
  <c r="AK53"/>
  <c r="B53"/>
  <c r="AN53"/>
  <c r="D53"/>
  <c r="AW53"/>
  <c r="G53"/>
  <c r="BC53"/>
  <c r="I53"/>
  <c r="AT53"/>
  <c r="F53"/>
  <c r="AZ53"/>
  <c r="H53"/>
  <c r="AQ53"/>
  <c r="E53"/>
  <c r="BL51"/>
  <c r="M51"/>
  <c r="BL52"/>
  <c r="M52"/>
  <c r="BL49"/>
  <c r="M49"/>
  <c r="AK52"/>
  <c r="B52"/>
  <c r="AN52"/>
  <c r="D52"/>
  <c r="AQ52"/>
  <c r="E52"/>
  <c r="AT52"/>
  <c r="F52"/>
  <c r="AW52"/>
  <c r="G52"/>
  <c r="AZ52"/>
  <c r="H52"/>
  <c r="BO51"/>
  <c r="N51"/>
  <c r="BO52"/>
  <c r="N52"/>
  <c r="BL48"/>
  <c r="M48"/>
  <c r="BL47"/>
  <c r="M47"/>
  <c r="BI47"/>
  <c r="L47"/>
  <c r="BI48"/>
  <c r="L48"/>
  <c r="BI49"/>
  <c r="L49"/>
  <c r="BI51"/>
  <c r="L51"/>
  <c r="BI52"/>
  <c r="L52"/>
  <c r="BI46"/>
  <c r="BF51"/>
  <c r="J51"/>
  <c r="BF52"/>
  <c r="J52"/>
  <c r="BF46"/>
  <c r="BF45"/>
  <c r="BC34"/>
  <c r="I34"/>
  <c r="BC35"/>
  <c r="I35"/>
  <c r="BC37"/>
  <c r="I37"/>
  <c r="BC38"/>
  <c r="I38"/>
  <c r="BC39"/>
  <c r="I39"/>
  <c r="BC51"/>
  <c r="I51"/>
  <c r="BC52"/>
  <c r="I52"/>
  <c r="BC32"/>
  <c r="I32"/>
  <c r="BC31"/>
  <c r="AZ34"/>
  <c r="H34"/>
  <c r="AZ35"/>
  <c r="H35"/>
  <c r="AZ37"/>
  <c r="H37"/>
  <c r="AZ38"/>
  <c r="H38"/>
  <c r="AZ39"/>
  <c r="H39"/>
  <c r="AZ51"/>
  <c r="H51"/>
  <c r="AZ32"/>
  <c r="H32"/>
  <c r="AZ31"/>
  <c r="AW34"/>
  <c r="G34"/>
  <c r="AW35"/>
  <c r="G35"/>
  <c r="AW37"/>
  <c r="G37"/>
  <c r="AW38"/>
  <c r="G38"/>
  <c r="AW39"/>
  <c r="G39"/>
  <c r="AW51"/>
  <c r="G51"/>
  <c r="AW32"/>
  <c r="G32"/>
  <c r="AW31"/>
  <c r="AT32"/>
  <c r="AT34"/>
  <c r="AT35"/>
  <c r="AT37"/>
  <c r="AT38"/>
  <c r="AT39"/>
  <c r="AT51"/>
  <c r="AT31"/>
  <c r="F34"/>
  <c r="F35"/>
  <c r="F37"/>
  <c r="F38"/>
  <c r="F39"/>
  <c r="F51"/>
  <c r="F32"/>
  <c r="AQ51"/>
  <c r="E51"/>
  <c r="AQ46"/>
  <c r="AN51"/>
  <c r="D51"/>
  <c r="AN46"/>
  <c r="AK38"/>
  <c r="B38"/>
  <c r="AK39"/>
  <c r="B39"/>
  <c r="AK51"/>
  <c r="B51"/>
  <c r="AK37"/>
  <c r="B37"/>
  <c r="AK36"/>
  <c r="R88" i="23"/>
  <c r="I88"/>
  <c r="P65"/>
  <c r="G65"/>
  <c r="O53"/>
  <c r="F53"/>
  <c r="N45"/>
  <c r="Q64"/>
  <c r="P64"/>
  <c r="G64"/>
  <c r="H64"/>
  <c r="B65"/>
  <c r="Q66"/>
  <c r="H66"/>
  <c r="Q67"/>
  <c r="H67"/>
  <c r="Q68"/>
  <c r="H68"/>
  <c r="Q69"/>
  <c r="H69"/>
  <c r="Q70"/>
  <c r="H70"/>
  <c r="Q71"/>
  <c r="H71"/>
  <c r="Q72"/>
  <c r="H72"/>
  <c r="Q73"/>
  <c r="H73"/>
  <c r="Q74"/>
  <c r="H74"/>
  <c r="Q75"/>
  <c r="H75"/>
  <c r="Q65"/>
  <c r="H65"/>
  <c r="P66"/>
  <c r="G66"/>
  <c r="P67"/>
  <c r="G67"/>
  <c r="P68"/>
  <c r="G68"/>
  <c r="P69"/>
  <c r="G69"/>
  <c r="P70"/>
  <c r="G70"/>
  <c r="P71"/>
  <c r="G71"/>
  <c r="P72"/>
  <c r="G72"/>
  <c r="P73"/>
  <c r="G73"/>
  <c r="P74"/>
  <c r="G74"/>
  <c r="P75"/>
  <c r="G75"/>
  <c r="O54"/>
  <c r="F54"/>
  <c r="O55"/>
  <c r="F55"/>
  <c r="O56"/>
  <c r="F56"/>
  <c r="O57"/>
  <c r="F57"/>
  <c r="O58"/>
  <c r="F58"/>
  <c r="O59"/>
  <c r="F59"/>
  <c r="O60"/>
  <c r="F60"/>
  <c r="O61"/>
  <c r="F61"/>
  <c r="O62"/>
  <c r="F62"/>
  <c r="O63"/>
  <c r="F63"/>
  <c r="O64"/>
  <c r="F64"/>
  <c r="N46"/>
  <c r="N47"/>
  <c r="E47"/>
  <c r="M35"/>
  <c r="M36"/>
  <c r="M37"/>
  <c r="M38"/>
  <c r="M39"/>
  <c r="M40"/>
  <c r="M41"/>
  <c r="M42"/>
  <c r="M43"/>
  <c r="M44"/>
  <c r="M45"/>
  <c r="M46"/>
  <c r="M47"/>
  <c r="D47"/>
  <c r="M48"/>
  <c r="D48"/>
  <c r="M34"/>
  <c r="K137"/>
  <c r="B137"/>
  <c r="R89"/>
  <c r="S89"/>
  <c r="R90"/>
  <c r="S90"/>
  <c r="R91"/>
  <c r="S91"/>
  <c r="R92"/>
  <c r="S92"/>
  <c r="R93"/>
  <c r="S93"/>
  <c r="R94"/>
  <c r="S94"/>
  <c r="R95"/>
  <c r="S95"/>
  <c r="R96"/>
  <c r="S96"/>
  <c r="R97"/>
  <c r="S97"/>
  <c r="R98"/>
  <c r="S98"/>
  <c r="R99"/>
  <c r="S99"/>
  <c r="R100"/>
  <c r="S100"/>
  <c r="R101"/>
  <c r="S101"/>
  <c r="R102"/>
  <c r="S102"/>
  <c r="R103"/>
  <c r="S103"/>
  <c r="S88"/>
  <c r="R104"/>
  <c r="R105"/>
  <c r="R106"/>
  <c r="R107"/>
  <c r="R108"/>
  <c r="R109"/>
  <c r="R110"/>
  <c r="R111"/>
  <c r="R112"/>
  <c r="R113"/>
  <c r="R114"/>
  <c r="R115"/>
  <c r="R116"/>
  <c r="R117"/>
  <c r="R118"/>
  <c r="R119"/>
  <c r="R120"/>
  <c r="R121"/>
  <c r="R122"/>
  <c r="R123"/>
  <c r="R124"/>
  <c r="R125"/>
  <c r="R126"/>
  <c r="R127"/>
  <c r="R128"/>
  <c r="R129"/>
  <c r="R130"/>
  <c r="R131"/>
  <c r="R132"/>
  <c r="R133"/>
  <c r="B64"/>
  <c r="K117"/>
  <c r="K118"/>
  <c r="K119"/>
  <c r="K120"/>
  <c r="K121"/>
  <c r="K122"/>
  <c r="K123"/>
  <c r="K124"/>
  <c r="K125"/>
  <c r="K126"/>
  <c r="K127"/>
  <c r="K128"/>
  <c r="K129"/>
  <c r="K130"/>
  <c r="K131"/>
  <c r="K132"/>
  <c r="K133"/>
  <c r="K134"/>
  <c r="K135"/>
  <c r="K136"/>
  <c r="K116"/>
  <c r="J89"/>
  <c r="J90"/>
  <c r="J91"/>
  <c r="J92"/>
  <c r="J93"/>
  <c r="J94"/>
  <c r="J95"/>
  <c r="J96"/>
  <c r="J97"/>
  <c r="J98"/>
  <c r="J99"/>
  <c r="J100"/>
  <c r="J101"/>
  <c r="J102"/>
  <c r="J103"/>
  <c r="J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B136"/>
  <c r="B135"/>
  <c r="B134"/>
  <c r="B133"/>
  <c r="B132"/>
  <c r="B131"/>
  <c r="B130"/>
  <c r="B129"/>
  <c r="B128"/>
  <c r="B127"/>
  <c r="B126"/>
  <c r="B125"/>
  <c r="B124"/>
  <c r="B123"/>
  <c r="B122"/>
  <c r="B121"/>
  <c r="B120"/>
  <c r="B119"/>
  <c r="B118"/>
  <c r="B117"/>
  <c r="B116"/>
  <c r="B115"/>
  <c r="B114"/>
  <c r="B103"/>
  <c r="B102"/>
  <c r="B101"/>
  <c r="B100"/>
  <c r="B99"/>
  <c r="B98"/>
  <c r="B97"/>
  <c r="B96"/>
  <c r="B95"/>
  <c r="B94"/>
  <c r="B93"/>
  <c r="B92"/>
  <c r="B91"/>
  <c r="B90"/>
  <c r="B89"/>
  <c r="B88"/>
  <c r="B75"/>
  <c r="B74"/>
  <c r="B73"/>
  <c r="B72"/>
  <c r="B71"/>
  <c r="B70"/>
  <c r="B69"/>
  <c r="B68"/>
  <c r="B67"/>
  <c r="B66"/>
  <c r="B63"/>
  <c r="B62"/>
  <c r="B61"/>
  <c r="B60"/>
  <c r="B59"/>
  <c r="B58"/>
  <c r="B57"/>
  <c r="B56"/>
  <c r="B55"/>
  <c r="B54"/>
  <c r="B53"/>
  <c r="B47"/>
  <c r="L4"/>
  <c r="C4"/>
  <c r="B4"/>
  <c r="L5"/>
  <c r="C5"/>
  <c r="B5"/>
  <c r="L6"/>
  <c r="C6"/>
  <c r="B6"/>
  <c r="L7"/>
  <c r="C7"/>
  <c r="B7"/>
  <c r="L8"/>
  <c r="C8"/>
  <c r="B8"/>
  <c r="L9"/>
  <c r="C9"/>
  <c r="B9"/>
  <c r="L10"/>
  <c r="C10"/>
  <c r="B10"/>
  <c r="L11"/>
  <c r="C11"/>
  <c r="B11"/>
  <c r="L12"/>
  <c r="C12"/>
  <c r="B12"/>
  <c r="L13"/>
  <c r="C13"/>
  <c r="B13"/>
  <c r="L14"/>
  <c r="C14"/>
  <c r="B14"/>
  <c r="L15"/>
  <c r="C15"/>
  <c r="B15"/>
  <c r="L16"/>
  <c r="C16"/>
  <c r="B16"/>
  <c r="L17"/>
  <c r="C17"/>
  <c r="B17"/>
  <c r="L18"/>
  <c r="C18"/>
  <c r="B18"/>
  <c r="L19"/>
  <c r="C19"/>
  <c r="B19"/>
  <c r="L20"/>
  <c r="C20"/>
  <c r="B20"/>
  <c r="D34"/>
  <c r="B34"/>
  <c r="D35"/>
  <c r="B35"/>
  <c r="D36"/>
  <c r="B36"/>
  <c r="D37"/>
  <c r="B37"/>
  <c r="D38"/>
  <c r="B38"/>
  <c r="D39"/>
  <c r="B39"/>
  <c r="D40"/>
  <c r="B40"/>
  <c r="D41"/>
  <c r="B41"/>
  <c r="D42"/>
  <c r="B42"/>
  <c r="D43"/>
  <c r="B43"/>
  <c r="D44"/>
  <c r="B44"/>
  <c r="E45"/>
  <c r="B45"/>
  <c r="E46"/>
  <c r="B46"/>
  <c r="D46"/>
  <c r="D45"/>
  <c r="D4" i="1"/>
  <c r="D5"/>
  <c r="D6"/>
  <c r="D7"/>
  <c r="D8"/>
  <c r="D9"/>
  <c r="D10"/>
  <c r="D11"/>
  <c r="D12"/>
  <c r="D13"/>
  <c r="D14"/>
  <c r="D15"/>
  <c r="D16"/>
  <c r="D17"/>
  <c r="D18"/>
  <c r="D19"/>
  <c r="D20"/>
  <c r="H138" i="11"/>
  <c r="I138"/>
  <c r="B138"/>
  <c r="H136"/>
  <c r="I136"/>
  <c r="B136"/>
  <c r="H137"/>
  <c r="I137"/>
  <c r="B137"/>
  <c r="L22"/>
  <c r="L15"/>
  <c r="K15"/>
  <c r="D15"/>
  <c r="D22"/>
  <c r="N50"/>
  <c r="N46"/>
  <c r="M46"/>
  <c r="M34"/>
  <c r="L34"/>
  <c r="D34"/>
  <c r="D46"/>
  <c r="D50"/>
  <c r="O50"/>
  <c r="E50"/>
  <c r="N75"/>
  <c r="D75"/>
  <c r="O75"/>
  <c r="E75"/>
  <c r="Q75"/>
  <c r="F75"/>
  <c r="P95"/>
  <c r="P87"/>
  <c r="O87"/>
  <c r="E87"/>
  <c r="E95"/>
  <c r="R95"/>
  <c r="R87"/>
  <c r="Q87"/>
  <c r="F87"/>
  <c r="F95"/>
  <c r="T95"/>
  <c r="G95"/>
  <c r="S114"/>
  <c r="S105"/>
  <c r="R105" a="1"/>
  <c r="F105"/>
  <c r="F114"/>
  <c r="U114"/>
  <c r="U105"/>
  <c r="T105"/>
  <c r="G105"/>
  <c r="G114"/>
  <c r="U115"/>
  <c r="G115"/>
  <c r="H115"/>
  <c r="U135"/>
  <c r="G135"/>
  <c r="H135"/>
  <c r="I135"/>
  <c r="B135"/>
  <c r="B115"/>
  <c r="B95"/>
  <c r="B75"/>
  <c r="B50"/>
  <c r="B22"/>
  <c r="N74"/>
  <c r="D74"/>
  <c r="O74"/>
  <c r="E74"/>
  <c r="B74"/>
  <c r="N73"/>
  <c r="D73"/>
  <c r="O73"/>
  <c r="E73"/>
  <c r="B73"/>
  <c r="N72"/>
  <c r="D72"/>
  <c r="O72"/>
  <c r="E72"/>
  <c r="B72"/>
  <c r="N71"/>
  <c r="D71"/>
  <c r="O71"/>
  <c r="E71"/>
  <c r="B71"/>
  <c r="N70"/>
  <c r="D70"/>
  <c r="O70"/>
  <c r="E70"/>
  <c r="B70"/>
  <c r="N69"/>
  <c r="D69"/>
  <c r="O69"/>
  <c r="E69"/>
  <c r="B69"/>
  <c r="N68"/>
  <c r="D68"/>
  <c r="O68"/>
  <c r="E68"/>
  <c r="B68"/>
  <c r="N67"/>
  <c r="D67"/>
  <c r="O67"/>
  <c r="E67"/>
  <c r="B67"/>
  <c r="N66"/>
  <c r="D66"/>
  <c r="O66"/>
  <c r="E66"/>
  <c r="B66"/>
  <c r="N65"/>
  <c r="D65"/>
  <c r="O65"/>
  <c r="E65"/>
  <c r="B65"/>
  <c r="N64"/>
  <c r="D64"/>
  <c r="O64"/>
  <c r="E64"/>
  <c r="B64"/>
  <c r="N63"/>
  <c r="D63"/>
  <c r="O63"/>
  <c r="E63"/>
  <c r="B63"/>
  <c r="N62"/>
  <c r="D62"/>
  <c r="O62"/>
  <c r="E62"/>
  <c r="B62"/>
  <c r="N61"/>
  <c r="D61"/>
  <c r="O61"/>
  <c r="E61"/>
  <c r="B61"/>
  <c r="N60"/>
  <c r="D60"/>
  <c r="O60"/>
  <c r="E60"/>
  <c r="B60"/>
  <c r="N59"/>
  <c r="D59"/>
  <c r="O59"/>
  <c r="E59"/>
  <c r="B59"/>
  <c r="N58"/>
  <c r="D58"/>
  <c r="O58"/>
  <c r="E58"/>
  <c r="B58"/>
  <c r="N57"/>
  <c r="D57"/>
  <c r="O57"/>
  <c r="E57"/>
  <c r="B57"/>
  <c r="N56"/>
  <c r="D56"/>
  <c r="O56"/>
  <c r="E56"/>
  <c r="B56"/>
  <c r="N55"/>
  <c r="D55"/>
  <c r="O55"/>
  <c r="E55"/>
  <c r="B55"/>
  <c r="N54"/>
  <c r="D54"/>
  <c r="O54"/>
  <c r="E54"/>
  <c r="B54"/>
  <c r="N53"/>
  <c r="D53"/>
  <c r="O53"/>
  <c r="E53"/>
  <c r="B53"/>
  <c r="N52"/>
  <c r="D52"/>
  <c r="O52"/>
  <c r="E52"/>
  <c r="B52"/>
  <c r="N51"/>
  <c r="D51"/>
  <c r="O51"/>
  <c r="E51"/>
  <c r="B51"/>
  <c r="N49"/>
  <c r="D49"/>
  <c r="B49"/>
  <c r="N48"/>
  <c r="D48"/>
  <c r="B48"/>
  <c r="N47"/>
  <c r="D47"/>
  <c r="B47"/>
  <c r="B46"/>
  <c r="M36"/>
  <c r="D36"/>
  <c r="B36"/>
  <c r="M35"/>
  <c r="D35"/>
  <c r="B35"/>
  <c r="B34"/>
  <c r="L33"/>
  <c r="D33"/>
  <c r="B33"/>
  <c r="L32"/>
  <c r="D32"/>
  <c r="B32"/>
  <c r="L31"/>
  <c r="D31"/>
  <c r="B31"/>
  <c r="L30"/>
  <c r="D30"/>
  <c r="B30"/>
  <c r="L29"/>
  <c r="D29"/>
  <c r="B29"/>
  <c r="L28"/>
  <c r="D28"/>
  <c r="B28"/>
  <c r="L27"/>
  <c r="D27"/>
  <c r="B27"/>
  <c r="L26"/>
  <c r="D26"/>
  <c r="B26"/>
  <c r="L25"/>
  <c r="D25"/>
  <c r="B25"/>
  <c r="L24"/>
  <c r="D24"/>
  <c r="B24"/>
  <c r="L23"/>
  <c r="D23"/>
  <c r="B23"/>
  <c r="L21"/>
  <c r="D21"/>
  <c r="B21"/>
  <c r="L20"/>
  <c r="D20"/>
  <c r="B20"/>
  <c r="L19"/>
  <c r="D19"/>
  <c r="B19"/>
  <c r="L18"/>
  <c r="D18"/>
  <c r="B18"/>
  <c r="L17"/>
  <c r="D17"/>
  <c r="B17"/>
  <c r="L16"/>
  <c r="D16"/>
  <c r="B16"/>
  <c r="B15"/>
  <c r="K14"/>
  <c r="D14"/>
  <c r="B14"/>
  <c r="K13"/>
  <c r="D13"/>
  <c r="B13"/>
  <c r="K12"/>
  <c r="D12"/>
  <c r="B12"/>
  <c r="K11"/>
  <c r="D11"/>
  <c r="B11"/>
  <c r="K10"/>
  <c r="D10"/>
  <c r="B10"/>
  <c r="K9"/>
  <c r="D9"/>
  <c r="B9"/>
  <c r="K8"/>
  <c r="D8"/>
  <c r="B8"/>
  <c r="K7"/>
  <c r="D7"/>
  <c r="B7"/>
  <c r="K6"/>
  <c r="D6"/>
  <c r="B6"/>
  <c r="K5"/>
  <c r="D5"/>
  <c r="B5"/>
  <c r="M45"/>
  <c r="D45"/>
  <c r="B45"/>
  <c r="M39"/>
  <c r="D39"/>
  <c r="B39"/>
  <c r="M40"/>
  <c r="D40"/>
  <c r="B40"/>
  <c r="M41"/>
  <c r="D41"/>
  <c r="B41"/>
  <c r="M42"/>
  <c r="D42"/>
  <c r="B42"/>
  <c r="M43"/>
  <c r="D43"/>
  <c r="B43"/>
  <c r="M44"/>
  <c r="D44"/>
  <c r="B44"/>
  <c r="M38"/>
  <c r="D38"/>
  <c r="B38"/>
  <c r="M37"/>
  <c r="D37"/>
  <c r="B37"/>
  <c r="P88"/>
  <c r="E88"/>
  <c r="R88"/>
  <c r="F88"/>
  <c r="B88"/>
  <c r="O84"/>
  <c r="E84"/>
  <c r="Q84"/>
  <c r="F84"/>
  <c r="B84"/>
  <c r="O83"/>
  <c r="E83"/>
  <c r="Q83"/>
  <c r="F83"/>
  <c r="B83"/>
  <c r="O82"/>
  <c r="E82"/>
  <c r="Q82"/>
  <c r="F82"/>
  <c r="B82"/>
  <c r="O81"/>
  <c r="E81"/>
  <c r="Q81"/>
  <c r="F81"/>
  <c r="B81"/>
  <c r="O80"/>
  <c r="E80"/>
  <c r="Q80"/>
  <c r="F80"/>
  <c r="B80"/>
  <c r="O79"/>
  <c r="E79"/>
  <c r="Q79"/>
  <c r="F79"/>
  <c r="B79"/>
  <c r="O78"/>
  <c r="E78"/>
  <c r="Q78"/>
  <c r="F78"/>
  <c r="B78"/>
  <c r="O77"/>
  <c r="E77"/>
  <c r="Q77"/>
  <c r="F77"/>
  <c r="B77"/>
  <c r="O76"/>
  <c r="E76"/>
  <c r="Q76"/>
  <c r="F76"/>
  <c r="B76"/>
  <c r="R96"/>
  <c r="F96"/>
  <c r="T96"/>
  <c r="G96"/>
  <c r="B96"/>
  <c r="R97"/>
  <c r="F97"/>
  <c r="T97"/>
  <c r="G97"/>
  <c r="B97"/>
  <c r="R98"/>
  <c r="F98"/>
  <c r="T98"/>
  <c r="G98"/>
  <c r="B98"/>
  <c r="R99"/>
  <c r="F99"/>
  <c r="T99"/>
  <c r="G99"/>
  <c r="B99"/>
  <c r="R100"/>
  <c r="F100"/>
  <c r="T100"/>
  <c r="G100"/>
  <c r="B100"/>
  <c r="R101"/>
  <c r="F101"/>
  <c r="T101"/>
  <c r="G101"/>
  <c r="B101"/>
  <c r="R102"/>
  <c r="F102"/>
  <c r="T102"/>
  <c r="G102"/>
  <c r="B102"/>
  <c r="R103"/>
  <c r="F103"/>
  <c r="T103"/>
  <c r="G103"/>
  <c r="B103"/>
  <c r="R104"/>
  <c r="F104"/>
  <c r="T104"/>
  <c r="G104"/>
  <c r="B104"/>
  <c r="B105"/>
  <c r="S106"/>
  <c r="F106"/>
  <c r="U106"/>
  <c r="G106"/>
  <c r="B106"/>
  <c r="S107"/>
  <c r="F107"/>
  <c r="U107"/>
  <c r="G107"/>
  <c r="B107"/>
  <c r="S108"/>
  <c r="F108"/>
  <c r="U108"/>
  <c r="G108"/>
  <c r="B108"/>
  <c r="S109"/>
  <c r="F109"/>
  <c r="U109"/>
  <c r="G109"/>
  <c r="B109"/>
  <c r="S110"/>
  <c r="F110"/>
  <c r="U110"/>
  <c r="G110"/>
  <c r="B110"/>
  <c r="S111"/>
  <c r="F111"/>
  <c r="U111"/>
  <c r="G111"/>
  <c r="B111"/>
  <c r="S112"/>
  <c r="F112"/>
  <c r="U112"/>
  <c r="G112"/>
  <c r="B112"/>
  <c r="S113"/>
  <c r="F113"/>
  <c r="U113"/>
  <c r="G113"/>
  <c r="B113"/>
  <c r="B114"/>
  <c r="O85"/>
  <c r="E85"/>
  <c r="Q85"/>
  <c r="F85"/>
  <c r="B85"/>
  <c r="O86"/>
  <c r="E86"/>
  <c r="Q86"/>
  <c r="F86"/>
  <c r="B86"/>
  <c r="B87"/>
  <c r="P89"/>
  <c r="E89"/>
  <c r="R89"/>
  <c r="F89"/>
  <c r="B89"/>
  <c r="P90"/>
  <c r="E90"/>
  <c r="R90"/>
  <c r="F90"/>
  <c r="B90"/>
  <c r="P91"/>
  <c r="E91"/>
  <c r="R91"/>
  <c r="F91"/>
  <c r="B91"/>
  <c r="P92"/>
  <c r="E92"/>
  <c r="R92"/>
  <c r="F92"/>
  <c r="B92"/>
  <c r="P93"/>
  <c r="E93"/>
  <c r="R93"/>
  <c r="F93"/>
  <c r="B93"/>
  <c r="P94"/>
  <c r="E94"/>
  <c r="R94"/>
  <c r="F94"/>
  <c r="B94"/>
  <c r="U122"/>
  <c r="G122"/>
  <c r="H122"/>
  <c r="B122"/>
  <c r="U123"/>
  <c r="G123"/>
  <c r="H123"/>
  <c r="B123"/>
  <c r="U124"/>
  <c r="G124"/>
  <c r="H124"/>
  <c r="B124"/>
  <c r="U125"/>
  <c r="G125"/>
  <c r="H125"/>
  <c r="B125"/>
  <c r="U126"/>
  <c r="G126"/>
  <c r="H126"/>
  <c r="B126"/>
  <c r="U127"/>
  <c r="G127"/>
  <c r="H127"/>
  <c r="B127"/>
  <c r="U128"/>
  <c r="G128"/>
  <c r="H128"/>
  <c r="B128"/>
  <c r="U129"/>
  <c r="G129"/>
  <c r="H129"/>
  <c r="B129"/>
  <c r="U130"/>
  <c r="G130"/>
  <c r="H130"/>
  <c r="B130"/>
  <c r="U131"/>
  <c r="G131"/>
  <c r="H131"/>
  <c r="B131"/>
  <c r="U132"/>
  <c r="G132"/>
  <c r="H132"/>
  <c r="B132"/>
  <c r="U134"/>
  <c r="G134"/>
  <c r="H134"/>
  <c r="B134"/>
  <c r="U133"/>
  <c r="G133"/>
  <c r="H133"/>
  <c r="B133"/>
  <c r="U121"/>
  <c r="G121"/>
  <c r="H121"/>
  <c r="B121"/>
  <c r="U120"/>
  <c r="G120"/>
  <c r="H120"/>
  <c r="B120"/>
  <c r="U119"/>
  <c r="G119"/>
  <c r="H119"/>
  <c r="B119"/>
  <c r="U118"/>
  <c r="G118"/>
  <c r="H118"/>
  <c r="B118"/>
  <c r="U117"/>
  <c r="G117"/>
  <c r="H117"/>
  <c r="B117"/>
  <c r="U116"/>
  <c r="G116"/>
  <c r="H116"/>
  <c r="B116"/>
  <c r="S115"/>
  <c r="F115"/>
  <c r="R105"/>
  <c r="I152"/>
  <c r="I150"/>
  <c r="H150"/>
  <c r="B150"/>
  <c r="B152"/>
  <c r="I153"/>
  <c r="B153"/>
  <c r="I154"/>
  <c r="B154"/>
  <c r="I155"/>
  <c r="B155"/>
  <c r="I156"/>
  <c r="B156"/>
  <c r="I157"/>
  <c r="B157"/>
  <c r="I158"/>
  <c r="B158"/>
  <c r="I159"/>
  <c r="B159"/>
  <c r="I160"/>
  <c r="B160"/>
  <c r="I161"/>
  <c r="B161"/>
  <c r="I162"/>
  <c r="B162"/>
  <c r="I151"/>
  <c r="B151"/>
  <c r="H151"/>
  <c r="H155"/>
  <c r="H154"/>
  <c r="H153"/>
  <c r="H152"/>
  <c r="I163"/>
  <c r="B163"/>
  <c r="H139"/>
  <c r="I139"/>
  <c r="B139"/>
  <c r="H140"/>
  <c r="I140"/>
  <c r="B140"/>
  <c r="H141"/>
  <c r="I141"/>
  <c r="B141"/>
  <c r="H142"/>
  <c r="I142"/>
  <c r="B142"/>
  <c r="H143"/>
  <c r="I143"/>
  <c r="B143"/>
  <c r="H144"/>
  <c r="I144"/>
  <c r="B144"/>
  <c r="H145"/>
  <c r="I145"/>
  <c r="B145"/>
  <c r="H146"/>
  <c r="I146"/>
  <c r="B146"/>
  <c r="H147"/>
  <c r="I147"/>
  <c r="B147"/>
  <c r="H148"/>
  <c r="I148"/>
  <c r="B148"/>
  <c r="H149"/>
  <c r="I149"/>
  <c r="B149"/>
  <c r="F86" i="25"/>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E162"/>
  <c r="B137"/>
  <c r="C137"/>
  <c r="D137"/>
  <c r="I137"/>
  <c r="B149"/>
  <c r="C149"/>
  <c r="D149"/>
  <c r="I149"/>
  <c r="I138"/>
  <c r="I139"/>
  <c r="I140"/>
  <c r="I141"/>
  <c r="I142"/>
  <c r="I143"/>
  <c r="I144"/>
  <c r="I145"/>
  <c r="I146"/>
  <c r="I147"/>
  <c r="I148"/>
  <c r="B148"/>
  <c r="C148"/>
  <c r="D148"/>
  <c r="L148"/>
  <c r="E137"/>
  <c r="J137"/>
  <c r="J149"/>
  <c r="J138"/>
  <c r="J139"/>
  <c r="J140"/>
  <c r="J141"/>
  <c r="J142"/>
  <c r="J143"/>
  <c r="J144"/>
  <c r="J145"/>
  <c r="J146"/>
  <c r="J147"/>
  <c r="J148"/>
  <c r="K148"/>
  <c r="E148"/>
  <c r="E149"/>
  <c r="E150"/>
  <c r="E151"/>
  <c r="E152"/>
  <c r="E153"/>
  <c r="E154"/>
  <c r="E155"/>
  <c r="E156"/>
  <c r="E157"/>
  <c r="E158"/>
  <c r="E159"/>
  <c r="E160"/>
  <c r="E161"/>
  <c r="D157"/>
  <c r="E125"/>
  <c r="E126"/>
  <c r="E127"/>
  <c r="E128"/>
  <c r="E129"/>
  <c r="E130"/>
  <c r="E131"/>
  <c r="E132"/>
  <c r="E133"/>
  <c r="E134"/>
  <c r="E135"/>
  <c r="E136"/>
  <c r="D150"/>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8"/>
  <c r="D139"/>
  <c r="D140"/>
  <c r="D141"/>
  <c r="D142"/>
  <c r="D143"/>
  <c r="D144"/>
  <c r="D145"/>
  <c r="D146"/>
  <c r="D147"/>
  <c r="D33"/>
  <c r="D162"/>
  <c r="D151"/>
  <c r="D152"/>
  <c r="D153"/>
  <c r="D154"/>
  <c r="D155"/>
  <c r="D156"/>
  <c r="D158"/>
  <c r="D159"/>
  <c r="D160"/>
  <c r="D161"/>
  <c r="B150"/>
  <c r="C150"/>
  <c r="I150"/>
  <c r="L150"/>
  <c r="J150"/>
  <c r="K150"/>
  <c r="N14"/>
  <c r="C14"/>
  <c r="C162"/>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8"/>
  <c r="C139"/>
  <c r="C140"/>
  <c r="C141"/>
  <c r="C142"/>
  <c r="C143"/>
  <c r="C144"/>
  <c r="C145"/>
  <c r="C146"/>
  <c r="C147"/>
  <c r="C151"/>
  <c r="C152"/>
  <c r="C153"/>
  <c r="C154"/>
  <c r="C155"/>
  <c r="C156"/>
  <c r="C157"/>
  <c r="C158"/>
  <c r="C159"/>
  <c r="C160"/>
  <c r="C161"/>
  <c r="L137"/>
  <c r="K137"/>
  <c r="B138"/>
  <c r="L138"/>
  <c r="K138"/>
  <c r="B139"/>
  <c r="L139"/>
  <c r="K139"/>
  <c r="B140"/>
  <c r="L140"/>
  <c r="K140"/>
  <c r="B141"/>
  <c r="L141"/>
  <c r="K141"/>
  <c r="B142"/>
  <c r="L142"/>
  <c r="K142"/>
  <c r="B143"/>
  <c r="L143"/>
  <c r="K143"/>
  <c r="B144"/>
  <c r="L144"/>
  <c r="K144"/>
  <c r="B145"/>
  <c r="L145"/>
  <c r="K145"/>
  <c r="B146"/>
  <c r="L146"/>
  <c r="K146"/>
  <c r="B147"/>
  <c r="L147"/>
  <c r="K147"/>
  <c r="L149"/>
  <c r="K149"/>
  <c r="U4"/>
  <c r="U22"/>
  <c r="U45"/>
  <c r="B94"/>
  <c r="B45"/>
  <c r="B22"/>
  <c r="B4"/>
  <c r="U5"/>
  <c r="B5"/>
  <c r="U6"/>
  <c r="B6"/>
  <c r="U7"/>
  <c r="B7"/>
  <c r="U8"/>
  <c r="B8"/>
  <c r="U9"/>
  <c r="B9"/>
  <c r="U10"/>
  <c r="B10"/>
  <c r="U11"/>
  <c r="B11"/>
  <c r="U12"/>
  <c r="B12"/>
  <c r="U13"/>
  <c r="B13"/>
  <c r="U14"/>
  <c r="B14"/>
  <c r="U15"/>
  <c r="B15"/>
  <c r="U16"/>
  <c r="B16"/>
  <c r="U17"/>
  <c r="B17"/>
  <c r="U18"/>
  <c r="B18"/>
  <c r="U19"/>
  <c r="B19"/>
  <c r="U20"/>
  <c r="B20"/>
  <c r="U21"/>
  <c r="B21"/>
  <c r="U23"/>
  <c r="B23"/>
  <c r="U24"/>
  <c r="B24"/>
  <c r="U25"/>
  <c r="B25"/>
  <c r="U26"/>
  <c r="B26"/>
  <c r="U27"/>
  <c r="B27"/>
  <c r="U28"/>
  <c r="B28"/>
  <c r="U29"/>
  <c r="B29"/>
  <c r="U30"/>
  <c r="B30"/>
  <c r="U31"/>
  <c r="B31"/>
  <c r="U32"/>
  <c r="B32"/>
  <c r="U33"/>
  <c r="B33"/>
  <c r="U34"/>
  <c r="B34"/>
  <c r="U35"/>
  <c r="B35"/>
  <c r="U36"/>
  <c r="B36"/>
  <c r="U38"/>
  <c r="B38"/>
  <c r="U39"/>
  <c r="B39"/>
  <c r="U40"/>
  <c r="B40"/>
  <c r="U41"/>
  <c r="B41"/>
  <c r="U42"/>
  <c r="B42"/>
  <c r="U43"/>
  <c r="B43"/>
  <c r="U44"/>
  <c r="B44"/>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51"/>
  <c r="B152"/>
  <c r="B153"/>
  <c r="B154"/>
  <c r="B155"/>
  <c r="B156"/>
  <c r="B157"/>
  <c r="B158"/>
  <c r="B159"/>
  <c r="B160"/>
  <c r="B161"/>
  <c r="B162"/>
  <c r="E139"/>
  <c r="E140"/>
  <c r="E141"/>
  <c r="E142"/>
  <c r="E143"/>
  <c r="E144"/>
  <c r="E145"/>
  <c r="E146"/>
  <c r="E147"/>
  <c r="E138"/>
  <c r="B37"/>
  <c r="H8" i="12"/>
  <c r="C28"/>
  <c r="D28"/>
  <c r="E28"/>
  <c r="F28"/>
  <c r="G28"/>
  <c r="B28"/>
  <c r="H7"/>
  <c r="C27"/>
  <c r="D27"/>
  <c r="E27"/>
  <c r="F27"/>
  <c r="G27"/>
  <c r="B27"/>
  <c r="H6"/>
  <c r="C26"/>
  <c r="D26"/>
  <c r="E26"/>
  <c r="F26"/>
  <c r="G26"/>
  <c r="B26"/>
  <c r="H5"/>
  <c r="D23"/>
  <c r="E23"/>
  <c r="F23"/>
  <c r="G23"/>
  <c r="H23"/>
  <c r="C23"/>
  <c r="B23"/>
  <c r="H4"/>
  <c r="C19"/>
  <c r="D19"/>
  <c r="F19"/>
  <c r="G19"/>
  <c r="B19"/>
  <c r="H3"/>
  <c r="G16"/>
  <c r="C16"/>
  <c r="D16"/>
  <c r="B16"/>
  <c r="H13"/>
  <c r="B14"/>
  <c r="C14"/>
  <c r="H14"/>
  <c r="B15"/>
  <c r="C15"/>
  <c r="D15"/>
  <c r="H15"/>
  <c r="H16"/>
  <c r="B18"/>
  <c r="C18"/>
  <c r="D18"/>
  <c r="G18"/>
  <c r="H18"/>
  <c r="H19"/>
  <c r="B21"/>
  <c r="C21"/>
  <c r="D21"/>
  <c r="G21"/>
  <c r="H21"/>
  <c r="B22"/>
  <c r="C22"/>
  <c r="D22"/>
  <c r="F22"/>
  <c r="G22"/>
  <c r="H22"/>
  <c r="B25"/>
  <c r="C25"/>
  <c r="D25"/>
  <c r="F25"/>
  <c r="G25"/>
  <c r="H25"/>
  <c r="H26"/>
  <c r="H27"/>
  <c r="H28"/>
  <c r="P48" i="9"/>
  <c r="R61"/>
  <c r="R58"/>
  <c r="Q58"/>
  <c r="Q54"/>
  <c r="P54"/>
  <c r="R60"/>
  <c r="R59"/>
  <c r="Q57"/>
  <c r="Q56"/>
  <c r="Q55"/>
  <c r="R62"/>
  <c r="S48"/>
  <c r="F48"/>
  <c r="U62"/>
  <c r="U58"/>
  <c r="T58"/>
  <c r="T54"/>
  <c r="S54"/>
  <c r="F54"/>
  <c r="F58"/>
  <c r="F62"/>
  <c r="V62"/>
  <c r="G62"/>
  <c r="U76"/>
  <c r="F76"/>
  <c r="V76"/>
  <c r="G76"/>
  <c r="V89"/>
  <c r="G89"/>
  <c r="X89"/>
  <c r="H89"/>
  <c r="W91"/>
  <c r="W89"/>
  <c r="G91"/>
  <c r="X91"/>
  <c r="H91"/>
  <c r="Y91"/>
  <c r="I91"/>
  <c r="X106"/>
  <c r="H106"/>
  <c r="AA106"/>
  <c r="AA105"/>
  <c r="Z105"/>
  <c r="Z104"/>
  <c r="Y104"/>
  <c r="I104"/>
  <c r="I105"/>
  <c r="I106"/>
  <c r="AD106"/>
  <c r="J106"/>
  <c r="AC121"/>
  <c r="AC118"/>
  <c r="AB118"/>
  <c r="AB112"/>
  <c r="AA112"/>
  <c r="I112"/>
  <c r="I118"/>
  <c r="I121"/>
  <c r="AF121"/>
  <c r="AF118"/>
  <c r="AE118"/>
  <c r="AE112"/>
  <c r="AD112"/>
  <c r="J112"/>
  <c r="J118"/>
  <c r="J121"/>
  <c r="AG121"/>
  <c r="K121"/>
  <c r="AF135"/>
  <c r="J135"/>
  <c r="AG135"/>
  <c r="K135"/>
  <c r="B135"/>
  <c r="B121"/>
  <c r="B106"/>
  <c r="B91"/>
  <c r="B89"/>
  <c r="B76"/>
  <c r="B62"/>
  <c r="U61"/>
  <c r="F61"/>
  <c r="U60"/>
  <c r="F60"/>
  <c r="U59"/>
  <c r="F59"/>
  <c r="T57"/>
  <c r="F57"/>
  <c r="T56"/>
  <c r="F56"/>
  <c r="T55"/>
  <c r="F55"/>
  <c r="W90"/>
  <c r="G90"/>
  <c r="X90"/>
  <c r="H90"/>
  <c r="B90"/>
  <c r="U71"/>
  <c r="F71"/>
  <c r="V71"/>
  <c r="G71"/>
  <c r="B71"/>
  <c r="U75"/>
  <c r="F75"/>
  <c r="V75"/>
  <c r="G75"/>
  <c r="B75"/>
  <c r="U73"/>
  <c r="F73"/>
  <c r="V73"/>
  <c r="G73"/>
  <c r="B73"/>
  <c r="U72"/>
  <c r="F72"/>
  <c r="V72"/>
  <c r="G72"/>
  <c r="B72"/>
  <c r="U65"/>
  <c r="F65"/>
  <c r="V65"/>
  <c r="G65"/>
  <c r="B65"/>
  <c r="U63"/>
  <c r="F63"/>
  <c r="V63"/>
  <c r="G63"/>
  <c r="B63"/>
  <c r="U64"/>
  <c r="F64"/>
  <c r="V64"/>
  <c r="G64"/>
  <c r="B64"/>
  <c r="U67"/>
  <c r="F67"/>
  <c r="V67"/>
  <c r="G67"/>
  <c r="B67"/>
  <c r="U68"/>
  <c r="F68"/>
  <c r="V68"/>
  <c r="G68"/>
  <c r="B68"/>
  <c r="U69"/>
  <c r="F69"/>
  <c r="V69"/>
  <c r="G69"/>
  <c r="B69"/>
  <c r="U70"/>
  <c r="F70"/>
  <c r="V70"/>
  <c r="G70"/>
  <c r="B70"/>
  <c r="U74"/>
  <c r="F74"/>
  <c r="V74"/>
  <c r="G74"/>
  <c r="B74"/>
  <c r="U66"/>
  <c r="F66"/>
  <c r="V66"/>
  <c r="G66"/>
  <c r="B66"/>
  <c r="X100"/>
  <c r="H100"/>
  <c r="Y100"/>
  <c r="I100"/>
  <c r="B100"/>
  <c r="AF122"/>
  <c r="J122"/>
  <c r="AG122"/>
  <c r="K122"/>
  <c r="B122"/>
  <c r="AF123"/>
  <c r="J123"/>
  <c r="AG123"/>
  <c r="K123"/>
  <c r="B123"/>
  <c r="AF124"/>
  <c r="J124"/>
  <c r="AG124"/>
  <c r="K124"/>
  <c r="B124"/>
  <c r="AF125"/>
  <c r="J125"/>
  <c r="AG125"/>
  <c r="K125"/>
  <c r="B125"/>
  <c r="AF126"/>
  <c r="J126"/>
  <c r="AG126"/>
  <c r="K126"/>
  <c r="B126"/>
  <c r="AF127"/>
  <c r="J127"/>
  <c r="AG127"/>
  <c r="K127"/>
  <c r="B127"/>
  <c r="AF128"/>
  <c r="J128"/>
  <c r="AG128"/>
  <c r="K128"/>
  <c r="B128"/>
  <c r="AF129"/>
  <c r="J129"/>
  <c r="AG129"/>
  <c r="K129"/>
  <c r="B129"/>
  <c r="AF130"/>
  <c r="J130"/>
  <c r="AG130"/>
  <c r="K130"/>
  <c r="B130"/>
  <c r="AF131"/>
  <c r="J131"/>
  <c r="AG131"/>
  <c r="K131"/>
  <c r="B131"/>
  <c r="AF132"/>
  <c r="J132"/>
  <c r="AG132"/>
  <c r="K132"/>
  <c r="B132"/>
  <c r="AF133"/>
  <c r="J133"/>
  <c r="AG133"/>
  <c r="K133"/>
  <c r="B133"/>
  <c r="AF134"/>
  <c r="J134"/>
  <c r="AG134"/>
  <c r="K134"/>
  <c r="B134"/>
  <c r="X95"/>
  <c r="H95"/>
  <c r="Y95"/>
  <c r="I95"/>
  <c r="B95"/>
  <c r="X96"/>
  <c r="H96"/>
  <c r="Y96"/>
  <c r="I96"/>
  <c r="B96"/>
  <c r="X97"/>
  <c r="H97"/>
  <c r="Y97"/>
  <c r="I97"/>
  <c r="B97"/>
  <c r="X98"/>
  <c r="H98"/>
  <c r="Y98"/>
  <c r="I98"/>
  <c r="B98"/>
  <c r="X99"/>
  <c r="H99"/>
  <c r="Y99"/>
  <c r="I99"/>
  <c r="B99"/>
  <c r="X101"/>
  <c r="H101"/>
  <c r="Y101"/>
  <c r="I101"/>
  <c r="B101"/>
  <c r="X102"/>
  <c r="H102"/>
  <c r="Y102"/>
  <c r="I102"/>
  <c r="B102"/>
  <c r="X103"/>
  <c r="H103"/>
  <c r="Y103"/>
  <c r="I103"/>
  <c r="B103"/>
  <c r="X104"/>
  <c r="H104"/>
  <c r="B104"/>
  <c r="X92"/>
  <c r="H92"/>
  <c r="Y92"/>
  <c r="I92"/>
  <c r="B92"/>
  <c r="X105"/>
  <c r="H105"/>
  <c r="B105"/>
  <c r="AA107"/>
  <c r="I107"/>
  <c r="AD107"/>
  <c r="J107"/>
  <c r="B107"/>
  <c r="AA108"/>
  <c r="I108"/>
  <c r="AD108"/>
  <c r="J108"/>
  <c r="B108"/>
  <c r="AA109"/>
  <c r="I109"/>
  <c r="AD109"/>
  <c r="J109"/>
  <c r="B109"/>
  <c r="AA110"/>
  <c r="I110"/>
  <c r="AD110"/>
  <c r="J110"/>
  <c r="B110"/>
  <c r="AA111"/>
  <c r="I111"/>
  <c r="AD111"/>
  <c r="J111"/>
  <c r="B111"/>
  <c r="B112"/>
  <c r="AB113"/>
  <c r="I113"/>
  <c r="AE113"/>
  <c r="J113"/>
  <c r="B113"/>
  <c r="AB114"/>
  <c r="I114"/>
  <c r="AE114"/>
  <c r="J114"/>
  <c r="B114"/>
  <c r="AB115"/>
  <c r="I115"/>
  <c r="AE115"/>
  <c r="J115"/>
  <c r="B115"/>
  <c r="AB116"/>
  <c r="I116"/>
  <c r="AE116"/>
  <c r="J116"/>
  <c r="B116"/>
  <c r="AB117"/>
  <c r="I117"/>
  <c r="AE117"/>
  <c r="J117"/>
  <c r="B117"/>
  <c r="B118"/>
  <c r="AC119"/>
  <c r="I119"/>
  <c r="AF119"/>
  <c r="J119"/>
  <c r="B119"/>
  <c r="AC120"/>
  <c r="I120"/>
  <c r="AF120"/>
  <c r="J120"/>
  <c r="B120"/>
  <c r="AH136"/>
  <c r="AH135"/>
  <c r="K136"/>
  <c r="AJ136"/>
  <c r="L136"/>
  <c r="AJ135"/>
  <c r="L135"/>
  <c r="B136"/>
  <c r="AH137"/>
  <c r="K137"/>
  <c r="AJ137"/>
  <c r="L137"/>
  <c r="B137"/>
  <c r="AH138"/>
  <c r="K138"/>
  <c r="AJ138"/>
  <c r="L138"/>
  <c r="B138"/>
  <c r="X93"/>
  <c r="H93"/>
  <c r="Y93"/>
  <c r="I93"/>
  <c r="B93"/>
  <c r="X94"/>
  <c r="H94"/>
  <c r="Y94"/>
  <c r="I94"/>
  <c r="B94"/>
  <c r="AI139"/>
  <c r="AI138"/>
  <c r="K139"/>
  <c r="AJ139" a="1"/>
  <c r="L139"/>
  <c r="B139"/>
  <c r="AI149"/>
  <c r="K149"/>
  <c r="AM149"/>
  <c r="AM145"/>
  <c r="AL145"/>
  <c r="AL141"/>
  <c r="AK141"/>
  <c r="AK139"/>
  <c r="L141"/>
  <c r="L145"/>
  <c r="L149"/>
  <c r="B149"/>
  <c r="AI148"/>
  <c r="K148"/>
  <c r="AM148"/>
  <c r="L148"/>
  <c r="B148"/>
  <c r="AI147"/>
  <c r="K147"/>
  <c r="AM147"/>
  <c r="L147"/>
  <c r="B147"/>
  <c r="AI146"/>
  <c r="K146"/>
  <c r="AM146"/>
  <c r="L146"/>
  <c r="B146"/>
  <c r="AI145"/>
  <c r="K145"/>
  <c r="B145"/>
  <c r="AI144"/>
  <c r="K144"/>
  <c r="AL144"/>
  <c r="L144"/>
  <c r="B144"/>
  <c r="AI143"/>
  <c r="K143"/>
  <c r="AL143"/>
  <c r="L143"/>
  <c r="B143"/>
  <c r="AI142"/>
  <c r="K142"/>
  <c r="AL142"/>
  <c r="L142"/>
  <c r="B142"/>
  <c r="AM151"/>
  <c r="L151"/>
  <c r="AN151"/>
  <c r="M151"/>
  <c r="AM150"/>
  <c r="L150"/>
  <c r="AN150"/>
  <c r="M150"/>
  <c r="AI150"/>
  <c r="K150"/>
  <c r="B150"/>
  <c r="B151"/>
  <c r="AM163"/>
  <c r="L163"/>
  <c r="AN163"/>
  <c r="M163"/>
  <c r="B163"/>
  <c r="AM162"/>
  <c r="L162"/>
  <c r="AN162"/>
  <c r="M162"/>
  <c r="B162"/>
  <c r="AM161"/>
  <c r="L161"/>
  <c r="AN161"/>
  <c r="M161"/>
  <c r="B161"/>
  <c r="AM160"/>
  <c r="L160"/>
  <c r="AN160"/>
  <c r="M160"/>
  <c r="B160"/>
  <c r="AM159"/>
  <c r="L159"/>
  <c r="AN159"/>
  <c r="M159"/>
  <c r="B159"/>
  <c r="AM158"/>
  <c r="L158"/>
  <c r="AN158"/>
  <c r="M158"/>
  <c r="B158"/>
  <c r="AM157"/>
  <c r="L157"/>
  <c r="AN157"/>
  <c r="M157"/>
  <c r="B157"/>
  <c r="AM156"/>
  <c r="L156"/>
  <c r="AN156"/>
  <c r="M156"/>
  <c r="B156"/>
  <c r="AM155"/>
  <c r="L155"/>
  <c r="AN155"/>
  <c r="M155"/>
  <c r="B155"/>
  <c r="AM154"/>
  <c r="L154"/>
  <c r="AN154"/>
  <c r="M154"/>
  <c r="B154"/>
  <c r="AM153"/>
  <c r="L153"/>
  <c r="AN153"/>
  <c r="M153"/>
  <c r="B153"/>
  <c r="AM152"/>
  <c r="L152"/>
  <c r="AN152"/>
  <c r="M152"/>
  <c r="B152"/>
  <c r="AI141"/>
  <c r="K141"/>
  <c r="B141"/>
  <c r="AI140"/>
  <c r="K140"/>
  <c r="AK140"/>
  <c r="L140"/>
  <c r="B140"/>
  <c r="AJ139"/>
  <c r="O21"/>
  <c r="E21"/>
  <c r="P47"/>
  <c r="O47"/>
  <c r="E47"/>
  <c r="E48"/>
  <c r="E54"/>
  <c r="E58"/>
  <c r="E62"/>
  <c r="B48"/>
  <c r="O46"/>
  <c r="D46"/>
  <c r="E46"/>
  <c r="D47"/>
  <c r="S47"/>
  <c r="F47"/>
  <c r="B47"/>
  <c r="B46"/>
  <c r="O45"/>
  <c r="D45"/>
  <c r="E45"/>
  <c r="B45"/>
  <c r="O44"/>
  <c r="D44"/>
  <c r="E44"/>
  <c r="B44"/>
  <c r="O42"/>
  <c r="D42"/>
  <c r="E42"/>
  <c r="B42"/>
  <c r="O41"/>
  <c r="D41"/>
  <c r="E41"/>
  <c r="B41"/>
  <c r="O40"/>
  <c r="D40"/>
  <c r="E40"/>
  <c r="B40"/>
  <c r="O39"/>
  <c r="D39"/>
  <c r="E39"/>
  <c r="B39"/>
  <c r="O38"/>
  <c r="D38"/>
  <c r="E38"/>
  <c r="B38"/>
  <c r="O37"/>
  <c r="D37"/>
  <c r="E37"/>
  <c r="B37"/>
  <c r="O36"/>
  <c r="D36"/>
  <c r="E36"/>
  <c r="B36"/>
  <c r="O43"/>
  <c r="D43"/>
  <c r="E43"/>
  <c r="B43"/>
  <c r="O20"/>
  <c r="D20"/>
  <c r="O35"/>
  <c r="D35"/>
  <c r="E35"/>
  <c r="B35"/>
  <c r="B20"/>
  <c r="O19"/>
  <c r="D19"/>
  <c r="B19"/>
  <c r="O18"/>
  <c r="D18"/>
  <c r="B18"/>
  <c r="O17"/>
  <c r="D17"/>
  <c r="B17"/>
  <c r="O16"/>
  <c r="D16"/>
  <c r="B16"/>
  <c r="O15"/>
  <c r="D15"/>
  <c r="B15"/>
  <c r="O14"/>
  <c r="D14"/>
  <c r="B14"/>
  <c r="O13"/>
  <c r="D13"/>
  <c r="B13"/>
  <c r="O12"/>
  <c r="D12"/>
  <c r="B12"/>
  <c r="O11"/>
  <c r="D11"/>
  <c r="B11"/>
  <c r="O10"/>
  <c r="D10"/>
  <c r="B10"/>
  <c r="O9"/>
  <c r="D9"/>
  <c r="B9"/>
  <c r="O8"/>
  <c r="D8"/>
  <c r="B8"/>
  <c r="O7"/>
  <c r="D7"/>
  <c r="B7"/>
  <c r="O6"/>
  <c r="D6"/>
  <c r="B6"/>
  <c r="D21"/>
  <c r="B21"/>
  <c r="O5"/>
  <c r="D5"/>
  <c r="B5"/>
  <c r="E61"/>
  <c r="B61"/>
  <c r="E60"/>
  <c r="B60"/>
  <c r="E59"/>
  <c r="B59"/>
  <c r="B58"/>
  <c r="E57"/>
  <c r="B57"/>
  <c r="E56"/>
  <c r="B56"/>
  <c r="E55"/>
  <c r="B55"/>
  <c r="B54"/>
  <c r="C139" i="22"/>
  <c r="C140"/>
  <c r="C141"/>
  <c r="C142"/>
  <c r="C143"/>
  <c r="C144"/>
  <c r="C145"/>
  <c r="C146"/>
  <c r="C147"/>
  <c r="C148"/>
  <c r="C149"/>
  <c r="C150"/>
  <c r="C151"/>
  <c r="C152"/>
  <c r="C153"/>
  <c r="C154"/>
  <c r="C155"/>
  <c r="C156"/>
  <c r="C157"/>
  <c r="C158"/>
  <c r="C159"/>
  <c r="C160"/>
  <c r="C161"/>
  <c r="C162"/>
  <c r="C138"/>
  <c r="H91"/>
  <c r="H94"/>
  <c r="H92"/>
  <c r="H93"/>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88"/>
  <c r="C54"/>
  <c r="C55"/>
  <c r="C56"/>
  <c r="C57"/>
  <c r="C58"/>
  <c r="C59"/>
  <c r="C60"/>
  <c r="C61"/>
  <c r="C62"/>
  <c r="C63"/>
  <c r="C64"/>
  <c r="C65"/>
  <c r="C66"/>
  <c r="C67"/>
  <c r="C68"/>
  <c r="C69"/>
  <c r="C70"/>
  <c r="C71"/>
  <c r="C72"/>
  <c r="C73"/>
  <c r="C74"/>
  <c r="C75"/>
  <c r="C53"/>
  <c r="C47"/>
  <c r="D70"/>
  <c r="B139"/>
  <c r="B140"/>
  <c r="B138"/>
  <c r="B115"/>
  <c r="B116"/>
  <c r="B117"/>
  <c r="B118"/>
  <c r="B119"/>
  <c r="B120"/>
  <c r="B121"/>
  <c r="B122"/>
  <c r="B123"/>
  <c r="B124"/>
  <c r="B125"/>
  <c r="B126"/>
  <c r="B127"/>
  <c r="B128"/>
  <c r="B129"/>
  <c r="B130"/>
  <c r="B131"/>
  <c r="B132"/>
  <c r="B133"/>
  <c r="B134"/>
  <c r="B135"/>
  <c r="B136"/>
  <c r="B137"/>
  <c r="B114"/>
  <c r="B88"/>
  <c r="B89"/>
  <c r="B90"/>
  <c r="B91"/>
  <c r="B92"/>
  <c r="B93"/>
  <c r="B94"/>
  <c r="B95"/>
  <c r="B96"/>
  <c r="B97"/>
  <c r="B98"/>
  <c r="B99"/>
  <c r="B100"/>
  <c r="B101"/>
  <c r="B102"/>
  <c r="B103"/>
  <c r="B47"/>
  <c r="B53"/>
  <c r="B54"/>
  <c r="B55"/>
  <c r="B56"/>
  <c r="B57"/>
  <c r="B58"/>
  <c r="B59"/>
  <c r="B60"/>
  <c r="B61"/>
  <c r="B62"/>
  <c r="B63"/>
  <c r="B64"/>
  <c r="B65"/>
  <c r="B66"/>
  <c r="B67"/>
  <c r="B68"/>
  <c r="B69"/>
  <c r="B70"/>
  <c r="B71"/>
  <c r="B72"/>
  <c r="B73"/>
  <c r="B74"/>
  <c r="B75"/>
  <c r="AF149"/>
  <c r="AE149"/>
  <c r="S149"/>
  <c r="AB149"/>
  <c r="AD149"/>
  <c r="AC149"/>
  <c r="AA149"/>
  <c r="P149"/>
  <c r="Q149"/>
  <c r="O149"/>
  <c r="W149"/>
  <c r="V149"/>
  <c r="U149"/>
  <c r="Y149"/>
  <c r="R149"/>
  <c r="N149"/>
  <c r="X149"/>
  <c r="T149"/>
  <c r="L149"/>
  <c r="AF148"/>
  <c r="AE148"/>
  <c r="S148"/>
  <c r="AB148"/>
  <c r="AD148"/>
  <c r="AC148"/>
  <c r="AA148"/>
  <c r="P148"/>
  <c r="Q148"/>
  <c r="O148"/>
  <c r="W148"/>
  <c r="V148"/>
  <c r="U148"/>
  <c r="Y148"/>
  <c r="R148"/>
  <c r="N148"/>
  <c r="X148"/>
  <c r="T148"/>
  <c r="L148"/>
  <c r="AF147"/>
  <c r="AE147"/>
  <c r="S147"/>
  <c r="AB147"/>
  <c r="AD147"/>
  <c r="AC147"/>
  <c r="AA147"/>
  <c r="P147"/>
  <c r="Q147"/>
  <c r="O147"/>
  <c r="W147"/>
  <c r="V147"/>
  <c r="U147"/>
  <c r="Y147"/>
  <c r="R147"/>
  <c r="N147"/>
  <c r="X147"/>
  <c r="T147"/>
  <c r="L147"/>
  <c r="AF146"/>
  <c r="AE146"/>
  <c r="S146"/>
  <c r="AB146"/>
  <c r="AD146"/>
  <c r="AC146"/>
  <c r="AA146"/>
  <c r="P146"/>
  <c r="Q146"/>
  <c r="O146"/>
  <c r="W146"/>
  <c r="V146"/>
  <c r="U146"/>
  <c r="Y146"/>
  <c r="R146"/>
  <c r="N146"/>
  <c r="X146"/>
  <c r="T146"/>
  <c r="L146"/>
  <c r="AF145"/>
  <c r="AE145"/>
  <c r="S145"/>
  <c r="AB145"/>
  <c r="AD145"/>
  <c r="AC145"/>
  <c r="AA145"/>
  <c r="P145"/>
  <c r="Q145"/>
  <c r="O145"/>
  <c r="W145"/>
  <c r="V145"/>
  <c r="U145"/>
  <c r="Y145"/>
  <c r="R145"/>
  <c r="N145"/>
  <c r="X145"/>
  <c r="T145"/>
  <c r="L145"/>
  <c r="AF144"/>
  <c r="AE144"/>
  <c r="S144"/>
  <c r="AB144"/>
  <c r="AD144"/>
  <c r="AC144"/>
  <c r="AA144"/>
  <c r="P144"/>
  <c r="Q144"/>
  <c r="O144"/>
  <c r="W144"/>
  <c r="V144"/>
  <c r="U144"/>
  <c r="Y144"/>
  <c r="R144"/>
  <c r="N144"/>
  <c r="X144"/>
  <c r="T144"/>
  <c r="L144"/>
  <c r="AE143"/>
  <c r="S143"/>
  <c r="AB143"/>
  <c r="AD143"/>
  <c r="AC143"/>
  <c r="AA143"/>
  <c r="P143"/>
  <c r="Q143"/>
  <c r="O143"/>
  <c r="W143"/>
  <c r="V143"/>
  <c r="U143"/>
  <c r="Y143"/>
  <c r="R143"/>
  <c r="N143"/>
  <c r="X143"/>
  <c r="T143"/>
  <c r="L143"/>
  <c r="AE142"/>
  <c r="S142"/>
  <c r="AB142"/>
  <c r="AD142"/>
  <c r="AC142"/>
  <c r="AA142"/>
  <c r="P142"/>
  <c r="Q142"/>
  <c r="O142"/>
  <c r="W142"/>
  <c r="V142"/>
  <c r="U142"/>
  <c r="Y142"/>
  <c r="R142"/>
  <c r="N142"/>
  <c r="X142"/>
  <c r="T142"/>
  <c r="K142"/>
  <c r="L142"/>
  <c r="AE141"/>
  <c r="S141"/>
  <c r="AB141"/>
  <c r="AD141"/>
  <c r="AC141"/>
  <c r="AA141"/>
  <c r="P141"/>
  <c r="Q141"/>
  <c r="O141"/>
  <c r="W141"/>
  <c r="V141"/>
  <c r="U141"/>
  <c r="Y141"/>
  <c r="R141"/>
  <c r="N141"/>
  <c r="X141"/>
  <c r="T141"/>
  <c r="K141"/>
  <c r="L141"/>
  <c r="J141"/>
  <c r="Z140"/>
  <c r="AE140"/>
  <c r="S140"/>
  <c r="AB140"/>
  <c r="AD140"/>
  <c r="AC140"/>
  <c r="AA140"/>
  <c r="P140"/>
  <c r="Q140"/>
  <c r="O140"/>
  <c r="W140"/>
  <c r="V140"/>
  <c r="U140"/>
  <c r="Y140"/>
  <c r="R140"/>
  <c r="N140"/>
  <c r="X140"/>
  <c r="T140"/>
  <c r="K140"/>
  <c r="L140"/>
  <c r="J140"/>
  <c r="I140"/>
  <c r="H140"/>
  <c r="F140"/>
  <c r="E140"/>
  <c r="Z139"/>
  <c r="S139"/>
  <c r="P139"/>
  <c r="Q139"/>
  <c r="O139"/>
  <c r="W139"/>
  <c r="V139"/>
  <c r="U139"/>
  <c r="Y139"/>
  <c r="R139"/>
  <c r="N139"/>
  <c r="X139"/>
  <c r="T139"/>
  <c r="K139"/>
  <c r="L139"/>
  <c r="J139"/>
  <c r="I139"/>
  <c r="H139"/>
  <c r="F139"/>
  <c r="E139"/>
  <c r="Z138"/>
  <c r="S138"/>
  <c r="P138"/>
  <c r="Q138"/>
  <c r="O138"/>
  <c r="W138"/>
  <c r="V138"/>
  <c r="U138"/>
  <c r="Y138"/>
  <c r="R138"/>
  <c r="N138"/>
  <c r="X138"/>
  <c r="T138"/>
  <c r="K138"/>
  <c r="L138"/>
  <c r="J138"/>
  <c r="I138"/>
  <c r="H138"/>
  <c r="F138"/>
  <c r="E138"/>
  <c r="S137"/>
  <c r="P137"/>
  <c r="Q137"/>
  <c r="O137"/>
  <c r="W137"/>
  <c r="V137"/>
  <c r="U137"/>
  <c r="R137"/>
  <c r="N137"/>
  <c r="X137"/>
  <c r="T137"/>
  <c r="K137"/>
  <c r="L137"/>
  <c r="J137"/>
  <c r="I137"/>
  <c r="M137"/>
  <c r="H137"/>
  <c r="G137"/>
  <c r="D137"/>
  <c r="F137"/>
  <c r="E137"/>
  <c r="S136"/>
  <c r="P136"/>
  <c r="Q136"/>
  <c r="O136"/>
  <c r="W136"/>
  <c r="V136"/>
  <c r="U136"/>
  <c r="R136"/>
  <c r="N136"/>
  <c r="X136"/>
  <c r="T136"/>
  <c r="K136"/>
  <c r="L136"/>
  <c r="J136"/>
  <c r="I136"/>
  <c r="M136"/>
  <c r="H136"/>
  <c r="G136"/>
  <c r="D136"/>
  <c r="F136"/>
  <c r="E136"/>
  <c r="S135"/>
  <c r="P135"/>
  <c r="Q135"/>
  <c r="O135"/>
  <c r="W135"/>
  <c r="V135"/>
  <c r="U135"/>
  <c r="R135"/>
  <c r="N135"/>
  <c r="X135"/>
  <c r="T135"/>
  <c r="K135"/>
  <c r="L135"/>
  <c r="J135"/>
  <c r="I135"/>
  <c r="M135"/>
  <c r="H135"/>
  <c r="G135"/>
  <c r="D135"/>
  <c r="F135"/>
  <c r="E135"/>
  <c r="S134"/>
  <c r="P134"/>
  <c r="Q134"/>
  <c r="O134"/>
  <c r="W134"/>
  <c r="V134"/>
  <c r="U134"/>
  <c r="R134"/>
  <c r="N134"/>
  <c r="X134"/>
  <c r="T134"/>
  <c r="K134"/>
  <c r="L134"/>
  <c r="J134"/>
  <c r="I134"/>
  <c r="M134"/>
  <c r="H134"/>
  <c r="G134"/>
  <c r="D134"/>
  <c r="F134"/>
  <c r="E134"/>
  <c r="K133"/>
  <c r="L133"/>
  <c r="J133"/>
  <c r="I133"/>
  <c r="M133"/>
  <c r="H133"/>
  <c r="G133"/>
  <c r="D133"/>
  <c r="F133"/>
  <c r="E133"/>
  <c r="K132"/>
  <c r="L132"/>
  <c r="J132"/>
  <c r="I132"/>
  <c r="M132"/>
  <c r="H132"/>
  <c r="G132"/>
  <c r="D132"/>
  <c r="F132"/>
  <c r="E132"/>
  <c r="K131"/>
  <c r="L131"/>
  <c r="J131"/>
  <c r="I131"/>
  <c r="M131"/>
  <c r="H131"/>
  <c r="G131"/>
  <c r="D131"/>
  <c r="F131"/>
  <c r="E131"/>
  <c r="K130"/>
  <c r="L130"/>
  <c r="J130"/>
  <c r="I130"/>
  <c r="M130"/>
  <c r="H130"/>
  <c r="G130"/>
  <c r="D130"/>
  <c r="F130"/>
  <c r="E130"/>
  <c r="K129"/>
  <c r="L129"/>
  <c r="J129"/>
  <c r="I129"/>
  <c r="M129"/>
  <c r="H129"/>
  <c r="G129"/>
  <c r="D129"/>
  <c r="F129"/>
  <c r="E129"/>
  <c r="K128"/>
  <c r="L128"/>
  <c r="J128"/>
  <c r="I128"/>
  <c r="M128"/>
  <c r="H128"/>
  <c r="G128"/>
  <c r="D128"/>
  <c r="F128"/>
  <c r="E128"/>
  <c r="K127"/>
  <c r="L127"/>
  <c r="J127"/>
  <c r="I127"/>
  <c r="M127"/>
  <c r="H127"/>
  <c r="G127"/>
  <c r="D127"/>
  <c r="F127"/>
  <c r="E127"/>
  <c r="K126"/>
  <c r="L126"/>
  <c r="J126"/>
  <c r="I126"/>
  <c r="M126"/>
  <c r="H126"/>
  <c r="G126"/>
  <c r="D126"/>
  <c r="F126"/>
  <c r="E126"/>
  <c r="K125"/>
  <c r="L125"/>
  <c r="J125"/>
  <c r="I125"/>
  <c r="M125"/>
  <c r="H125"/>
  <c r="G125"/>
  <c r="D125"/>
  <c r="F125"/>
  <c r="E125"/>
  <c r="K124"/>
  <c r="L124"/>
  <c r="J124"/>
  <c r="I124"/>
  <c r="M124"/>
  <c r="H124"/>
  <c r="G124"/>
  <c r="D124"/>
  <c r="F124"/>
  <c r="E124"/>
  <c r="K123"/>
  <c r="L123"/>
  <c r="J123"/>
  <c r="I123"/>
  <c r="M123"/>
  <c r="H123"/>
  <c r="G123"/>
  <c r="D123"/>
  <c r="F123"/>
  <c r="E123"/>
  <c r="K122"/>
  <c r="L122"/>
  <c r="J122"/>
  <c r="I122"/>
  <c r="M122"/>
  <c r="H122"/>
  <c r="G122"/>
  <c r="D122"/>
  <c r="F122"/>
  <c r="E122"/>
  <c r="K121"/>
  <c r="L121"/>
  <c r="J121"/>
  <c r="I121"/>
  <c r="M121"/>
  <c r="H121"/>
  <c r="G121"/>
  <c r="D121"/>
  <c r="F121"/>
  <c r="E121"/>
  <c r="K120"/>
  <c r="L120"/>
  <c r="J120"/>
  <c r="I120"/>
  <c r="M120"/>
  <c r="H120"/>
  <c r="G120"/>
  <c r="D120"/>
  <c r="F120"/>
  <c r="E120"/>
  <c r="K119"/>
  <c r="L119"/>
  <c r="J119"/>
  <c r="I119"/>
  <c r="M119"/>
  <c r="H119"/>
  <c r="G119"/>
  <c r="D119"/>
  <c r="F119"/>
  <c r="E119"/>
  <c r="K118"/>
  <c r="L118"/>
  <c r="J118"/>
  <c r="I118"/>
  <c r="M118"/>
  <c r="H118"/>
  <c r="G118"/>
  <c r="D118"/>
  <c r="F118"/>
  <c r="E118"/>
  <c r="K117"/>
  <c r="L117"/>
  <c r="J117"/>
  <c r="I117"/>
  <c r="M117"/>
  <c r="H117"/>
  <c r="G117"/>
  <c r="D117"/>
  <c r="F117"/>
  <c r="E117"/>
  <c r="K116"/>
  <c r="L116"/>
  <c r="J116"/>
  <c r="I116"/>
  <c r="H116"/>
  <c r="G116"/>
  <c r="D116"/>
  <c r="F116"/>
  <c r="E116"/>
  <c r="K115"/>
  <c r="L115"/>
  <c r="J115"/>
  <c r="I115"/>
  <c r="H115"/>
  <c r="G115"/>
  <c r="D115"/>
  <c r="F115"/>
  <c r="E115"/>
  <c r="K114"/>
  <c r="L114"/>
  <c r="J114"/>
  <c r="I114"/>
  <c r="H114"/>
  <c r="G114"/>
  <c r="D114"/>
  <c r="F114"/>
  <c r="E114"/>
  <c r="K113"/>
  <c r="L113"/>
  <c r="J113"/>
  <c r="I113"/>
  <c r="H113"/>
  <c r="G113"/>
  <c r="D113"/>
  <c r="F113"/>
  <c r="E113"/>
  <c r="B104"/>
  <c r="B105"/>
  <c r="B106"/>
  <c r="B107"/>
  <c r="B108"/>
  <c r="B109"/>
  <c r="B110"/>
  <c r="B111"/>
  <c r="B112"/>
  <c r="B113"/>
  <c r="K112"/>
  <c r="L112"/>
  <c r="J112"/>
  <c r="I112"/>
  <c r="H112"/>
  <c r="G112"/>
  <c r="D112"/>
  <c r="F112"/>
  <c r="E112"/>
  <c r="K111"/>
  <c r="L111"/>
  <c r="J111"/>
  <c r="I111"/>
  <c r="H111"/>
  <c r="G111"/>
  <c r="D111"/>
  <c r="F111"/>
  <c r="E111"/>
  <c r="K110"/>
  <c r="J110"/>
  <c r="I110"/>
  <c r="H110"/>
  <c r="G110"/>
  <c r="D110"/>
  <c r="F110"/>
  <c r="E110"/>
  <c r="K109"/>
  <c r="J109"/>
  <c r="I109"/>
  <c r="H109"/>
  <c r="G109"/>
  <c r="D109"/>
  <c r="F109"/>
  <c r="E109"/>
  <c r="K108"/>
  <c r="J108"/>
  <c r="I108"/>
  <c r="H108"/>
  <c r="G108"/>
  <c r="D108"/>
  <c r="F108"/>
  <c r="E108"/>
  <c r="K107"/>
  <c r="J107"/>
  <c r="I107"/>
  <c r="H107"/>
  <c r="G107"/>
  <c r="D107"/>
  <c r="F107"/>
  <c r="E107"/>
  <c r="K106"/>
  <c r="J106"/>
  <c r="I106"/>
  <c r="H106"/>
  <c r="G106"/>
  <c r="D106"/>
  <c r="F106"/>
  <c r="E106"/>
  <c r="K105"/>
  <c r="J105"/>
  <c r="I105"/>
  <c r="H105"/>
  <c r="G105"/>
  <c r="D105"/>
  <c r="F105"/>
  <c r="E105"/>
  <c r="K104"/>
  <c r="J104"/>
  <c r="I104"/>
  <c r="H104"/>
  <c r="G104"/>
  <c r="D104"/>
  <c r="F104"/>
  <c r="E104"/>
  <c r="J103"/>
  <c r="I103"/>
  <c r="H103"/>
  <c r="G103"/>
  <c r="D103"/>
  <c r="F103"/>
  <c r="E103"/>
  <c r="I102"/>
  <c r="H102"/>
  <c r="G102"/>
  <c r="D102"/>
  <c r="F102"/>
  <c r="E102"/>
  <c r="H101"/>
  <c r="G101"/>
  <c r="D101"/>
  <c r="F101"/>
  <c r="E101"/>
  <c r="H100"/>
  <c r="G100"/>
  <c r="D100"/>
  <c r="F100"/>
  <c r="E100"/>
  <c r="H99"/>
  <c r="G99"/>
  <c r="D99"/>
  <c r="F99"/>
  <c r="E99"/>
  <c r="H98"/>
  <c r="G98"/>
  <c r="D98"/>
  <c r="F98"/>
  <c r="E98"/>
  <c r="H97"/>
  <c r="G97"/>
  <c r="D97"/>
  <c r="F97"/>
  <c r="E97"/>
  <c r="H96"/>
  <c r="G96"/>
  <c r="D96"/>
  <c r="F96"/>
  <c r="E96"/>
  <c r="H95"/>
  <c r="G95"/>
  <c r="D95"/>
  <c r="F95"/>
  <c r="E95"/>
  <c r="G94"/>
  <c r="D94"/>
  <c r="F94"/>
  <c r="E94"/>
  <c r="G93"/>
  <c r="D93"/>
  <c r="F93"/>
  <c r="E93"/>
  <c r="G92"/>
  <c r="D92"/>
  <c r="F92"/>
  <c r="E92"/>
  <c r="G91"/>
  <c r="D91"/>
  <c r="F91"/>
  <c r="E91"/>
  <c r="H90"/>
  <c r="G90"/>
  <c r="D90"/>
  <c r="F90"/>
  <c r="E90"/>
  <c r="H89"/>
  <c r="G89"/>
  <c r="D89"/>
  <c r="F89"/>
  <c r="E89"/>
  <c r="H88"/>
  <c r="G88"/>
  <c r="D88"/>
  <c r="F88"/>
  <c r="E88"/>
  <c r="D75"/>
  <c r="F75"/>
  <c r="E75"/>
  <c r="D74"/>
  <c r="F74"/>
  <c r="E74"/>
  <c r="D73"/>
  <c r="F73"/>
  <c r="E73"/>
  <c r="D72"/>
  <c r="F72"/>
  <c r="E72"/>
  <c r="D71"/>
  <c r="F71"/>
  <c r="E71"/>
  <c r="D69"/>
  <c r="F70"/>
  <c r="E70"/>
  <c r="F69"/>
  <c r="E69"/>
  <c r="D68"/>
  <c r="F68"/>
  <c r="E68"/>
  <c r="D67"/>
  <c r="F67"/>
  <c r="E67"/>
  <c r="D66"/>
  <c r="F66"/>
  <c r="E66"/>
  <c r="D65"/>
  <c r="F65"/>
  <c r="E65"/>
  <c r="D64"/>
  <c r="F64"/>
  <c r="E64"/>
  <c r="D63"/>
  <c r="F63"/>
  <c r="E63"/>
  <c r="D62"/>
  <c r="F62"/>
  <c r="E62"/>
  <c r="D61"/>
  <c r="F61"/>
  <c r="E61"/>
  <c r="D60"/>
  <c r="F60"/>
  <c r="E60"/>
  <c r="D59"/>
  <c r="F59"/>
  <c r="E59"/>
  <c r="D58"/>
  <c r="F58"/>
  <c r="E58"/>
  <c r="D57"/>
  <c r="F57"/>
  <c r="E57"/>
  <c r="D56"/>
  <c r="D55"/>
  <c r="D54"/>
  <c r="D53"/>
  <c r="B141"/>
  <c r="B142"/>
  <c r="B143"/>
  <c r="B144"/>
  <c r="B145"/>
  <c r="B146"/>
  <c r="B147"/>
  <c r="B148"/>
  <c r="B149"/>
  <c r="B150"/>
  <c r="B151"/>
  <c r="B152"/>
  <c r="B153"/>
  <c r="B154"/>
  <c r="B155"/>
  <c r="B156"/>
  <c r="B157"/>
  <c r="B158"/>
  <c r="B159"/>
  <c r="B160"/>
  <c r="B161"/>
  <c r="B162"/>
  <c r="Z162"/>
  <c r="AF162"/>
  <c r="AE162"/>
  <c r="S162"/>
  <c r="AB162"/>
  <c r="AD162"/>
  <c r="AC162"/>
  <c r="AA162"/>
  <c r="P162"/>
  <c r="Q162"/>
  <c r="O162"/>
  <c r="W162"/>
  <c r="V162"/>
  <c r="U162"/>
  <c r="R162"/>
  <c r="N162"/>
  <c r="X162"/>
  <c r="T162"/>
  <c r="K162"/>
  <c r="L162"/>
  <c r="J162"/>
  <c r="I162"/>
  <c r="H162"/>
  <c r="F162"/>
  <c r="E162"/>
  <c r="Z161"/>
  <c r="AF161"/>
  <c r="AE161"/>
  <c r="S161"/>
  <c r="AB161"/>
  <c r="AD161"/>
  <c r="AC161"/>
  <c r="AA161"/>
  <c r="P161"/>
  <c r="Q161"/>
  <c r="O161"/>
  <c r="W161"/>
  <c r="V161"/>
  <c r="U161"/>
  <c r="Y162"/>
  <c r="Y160"/>
  <c r="Y161"/>
  <c r="R161"/>
  <c r="N161"/>
  <c r="X161"/>
  <c r="T161"/>
  <c r="K161"/>
  <c r="L161"/>
  <c r="J161"/>
  <c r="I161"/>
  <c r="H161"/>
  <c r="F161"/>
  <c r="E161"/>
  <c r="Z160"/>
  <c r="AF160"/>
  <c r="AE160"/>
  <c r="S160"/>
  <c r="AB160"/>
  <c r="AD160"/>
  <c r="AC160"/>
  <c r="AA160"/>
  <c r="P160"/>
  <c r="Q160"/>
  <c r="O160"/>
  <c r="W160"/>
  <c r="V160"/>
  <c r="U160"/>
  <c r="R160"/>
  <c r="N160"/>
  <c r="X160"/>
  <c r="T160"/>
  <c r="K160"/>
  <c r="L160"/>
  <c r="J160"/>
  <c r="I160"/>
  <c r="H160"/>
  <c r="F160"/>
  <c r="E160"/>
  <c r="Z159"/>
  <c r="AF159"/>
  <c r="AE159"/>
  <c r="S159"/>
  <c r="AB159"/>
  <c r="AD159"/>
  <c r="AC159"/>
  <c r="AA159"/>
  <c r="P159"/>
  <c r="Q159"/>
  <c r="O159"/>
  <c r="W159"/>
  <c r="V159"/>
  <c r="U159"/>
  <c r="Y159"/>
  <c r="R159"/>
  <c r="N159"/>
  <c r="X159"/>
  <c r="T159"/>
  <c r="K159"/>
  <c r="L159"/>
  <c r="J159"/>
  <c r="I159"/>
  <c r="H159"/>
  <c r="F159"/>
  <c r="E159"/>
  <c r="Z158"/>
  <c r="AF158"/>
  <c r="AE158"/>
  <c r="S158"/>
  <c r="AB158"/>
  <c r="AD158"/>
  <c r="AC158"/>
  <c r="AA158"/>
  <c r="P158"/>
  <c r="Q158"/>
  <c r="O158"/>
  <c r="W158"/>
  <c r="V158"/>
  <c r="U158"/>
  <c r="Y158"/>
  <c r="R158"/>
  <c r="N158"/>
  <c r="X158"/>
  <c r="T158"/>
  <c r="K158"/>
  <c r="L158"/>
  <c r="J158"/>
  <c r="I158"/>
  <c r="H158"/>
  <c r="F158"/>
  <c r="E158"/>
  <c r="Z157"/>
  <c r="AF157"/>
  <c r="AE157"/>
  <c r="S157"/>
  <c r="AB157"/>
  <c r="AD157"/>
  <c r="AC157"/>
  <c r="AA157"/>
  <c r="P157"/>
  <c r="Q157"/>
  <c r="O157"/>
  <c r="W157"/>
  <c r="V157"/>
  <c r="U157"/>
  <c r="Y157"/>
  <c r="R157"/>
  <c r="N157"/>
  <c r="X157"/>
  <c r="T157"/>
  <c r="K157"/>
  <c r="L157"/>
  <c r="J157"/>
  <c r="I157"/>
  <c r="H157"/>
  <c r="F157"/>
  <c r="E157"/>
  <c r="Z156"/>
  <c r="AF156"/>
  <c r="AE156"/>
  <c r="S156"/>
  <c r="AB156"/>
  <c r="AD156"/>
  <c r="AC156"/>
  <c r="AA156"/>
  <c r="P156"/>
  <c r="Q156"/>
  <c r="O156"/>
  <c r="W156"/>
  <c r="V156"/>
  <c r="U156"/>
  <c r="Y156"/>
  <c r="R156"/>
  <c r="N156"/>
  <c r="X156"/>
  <c r="T156"/>
  <c r="K156"/>
  <c r="L156"/>
  <c r="J156"/>
  <c r="I156"/>
  <c r="H156"/>
  <c r="F156"/>
  <c r="E156"/>
  <c r="Z155"/>
  <c r="AF155"/>
  <c r="AE155"/>
  <c r="S155"/>
  <c r="AB155"/>
  <c r="AD155"/>
  <c r="AC155"/>
  <c r="AA155"/>
  <c r="P155"/>
  <c r="Q155"/>
  <c r="O155"/>
  <c r="W155"/>
  <c r="V155"/>
  <c r="U155"/>
  <c r="Y155"/>
  <c r="R155"/>
  <c r="N155"/>
  <c r="X155"/>
  <c r="T155"/>
  <c r="K155"/>
  <c r="L155"/>
  <c r="J155"/>
  <c r="I155"/>
  <c r="H155"/>
  <c r="F155"/>
  <c r="E155"/>
  <c r="Z154"/>
  <c r="AF154"/>
  <c r="AE154"/>
  <c r="S154"/>
  <c r="AB154"/>
  <c r="AD154"/>
  <c r="AC154"/>
  <c r="AA154"/>
  <c r="P154"/>
  <c r="Q154"/>
  <c r="O154"/>
  <c r="W154"/>
  <c r="V154"/>
  <c r="U154"/>
  <c r="Y154"/>
  <c r="R154"/>
  <c r="N154"/>
  <c r="X154"/>
  <c r="T154"/>
  <c r="K154"/>
  <c r="L154"/>
  <c r="J154"/>
  <c r="I154"/>
  <c r="H154"/>
  <c r="F154"/>
  <c r="E154"/>
  <c r="Z153"/>
  <c r="AF153"/>
  <c r="AE153"/>
  <c r="S153"/>
  <c r="AB153"/>
  <c r="AD153"/>
  <c r="AC153"/>
  <c r="AA153"/>
  <c r="P153"/>
  <c r="Q153"/>
  <c r="O153"/>
  <c r="W153"/>
  <c r="V153"/>
  <c r="U153"/>
  <c r="Y153"/>
  <c r="R153"/>
  <c r="N153"/>
  <c r="X153"/>
  <c r="T153"/>
  <c r="K153"/>
  <c r="L153"/>
  <c r="J153"/>
  <c r="I153"/>
  <c r="H153"/>
  <c r="F153"/>
  <c r="E153"/>
  <c r="Z152"/>
  <c r="AF152"/>
  <c r="AE152"/>
  <c r="S152"/>
  <c r="AB152"/>
  <c r="AD152"/>
  <c r="AC152"/>
  <c r="AA152"/>
  <c r="P152"/>
  <c r="Q152"/>
  <c r="O152"/>
  <c r="W152"/>
  <c r="V152"/>
  <c r="U152"/>
  <c r="Y152"/>
  <c r="R152"/>
  <c r="N152"/>
  <c r="X152"/>
  <c r="T152"/>
  <c r="K152"/>
  <c r="L152"/>
  <c r="J152"/>
  <c r="I152"/>
  <c r="H152"/>
  <c r="F152"/>
  <c r="E152"/>
  <c r="Z151"/>
  <c r="AF151"/>
  <c r="AE151"/>
  <c r="S151"/>
  <c r="AB151"/>
  <c r="AD151"/>
  <c r="AC151"/>
  <c r="AA151"/>
  <c r="P151"/>
  <c r="Q151"/>
  <c r="O151"/>
  <c r="W151"/>
  <c r="V151"/>
  <c r="U151"/>
  <c r="Y151"/>
  <c r="R151"/>
  <c r="N151"/>
  <c r="X151"/>
  <c r="T151"/>
  <c r="K151"/>
  <c r="L151"/>
  <c r="J151"/>
  <c r="I151"/>
  <c r="H151"/>
  <c r="F151"/>
  <c r="E151"/>
  <c r="Z150"/>
  <c r="AF150"/>
  <c r="AE150"/>
  <c r="S150"/>
  <c r="AB150"/>
  <c r="AD150"/>
  <c r="AC150"/>
  <c r="AA150"/>
  <c r="P150"/>
  <c r="Q150"/>
  <c r="O150"/>
  <c r="W150"/>
  <c r="V150"/>
  <c r="U150"/>
  <c r="Y150"/>
  <c r="R150"/>
  <c r="N150"/>
  <c r="X150"/>
  <c r="T150"/>
  <c r="K150"/>
  <c r="L150"/>
  <c r="J150"/>
  <c r="I150"/>
  <c r="H150"/>
  <c r="F150"/>
  <c r="E150"/>
  <c r="Z149"/>
  <c r="K149"/>
  <c r="J149"/>
  <c r="I149"/>
  <c r="H149"/>
  <c r="F149"/>
  <c r="E149"/>
  <c r="Z148"/>
  <c r="K148"/>
  <c r="J148"/>
  <c r="I148"/>
  <c r="H148"/>
  <c r="F148"/>
  <c r="E148"/>
  <c r="Z147"/>
  <c r="K147"/>
  <c r="J147"/>
  <c r="I147"/>
  <c r="H147"/>
  <c r="F147"/>
  <c r="E147"/>
  <c r="Z146"/>
  <c r="K146"/>
  <c r="J146"/>
  <c r="I146"/>
  <c r="H146"/>
  <c r="F146"/>
  <c r="E146"/>
  <c r="Z145"/>
  <c r="K145"/>
  <c r="J145"/>
  <c r="I145"/>
  <c r="H145"/>
  <c r="F145"/>
  <c r="E145"/>
  <c r="Z144"/>
  <c r="K144"/>
  <c r="J144"/>
  <c r="I144"/>
  <c r="H144"/>
  <c r="F144"/>
  <c r="E144"/>
  <c r="Z143"/>
  <c r="K143"/>
  <c r="J143"/>
  <c r="I143"/>
  <c r="H143"/>
  <c r="F143"/>
  <c r="E143"/>
  <c r="Z142"/>
  <c r="J142"/>
  <c r="I142"/>
  <c r="H142"/>
  <c r="F142"/>
  <c r="E142"/>
  <c r="Z141"/>
  <c r="I141"/>
  <c r="H141"/>
  <c r="F141"/>
  <c r="E141"/>
  <c r="C46"/>
  <c r="C45"/>
  <c r="B4"/>
  <c r="B20"/>
  <c r="B19"/>
  <c r="B18"/>
  <c r="B17"/>
  <c r="B16"/>
  <c r="B15"/>
  <c r="B14"/>
  <c r="B13"/>
  <c r="B12"/>
  <c r="B11"/>
  <c r="B10"/>
  <c r="B9"/>
  <c r="B8"/>
  <c r="B7"/>
  <c r="B6"/>
  <c r="B5"/>
  <c r="B46"/>
  <c r="B45"/>
  <c r="B44"/>
  <c r="B43"/>
  <c r="B42"/>
  <c r="B41"/>
  <c r="B40"/>
  <c r="B39"/>
  <c r="B38"/>
  <c r="B37"/>
  <c r="B36"/>
  <c r="B35"/>
  <c r="B34"/>
  <c r="C7" i="18"/>
  <c r="B7"/>
  <c r="C6"/>
  <c r="C4"/>
  <c r="B4"/>
  <c r="C5"/>
  <c r="B5"/>
  <c r="B6"/>
  <c r="B16"/>
  <c r="B18"/>
  <c r="B21"/>
  <c r="C21"/>
  <c r="E21"/>
  <c r="F21"/>
  <c r="D21"/>
  <c r="B20"/>
  <c r="C20"/>
  <c r="D20"/>
  <c r="B19"/>
  <c r="G42"/>
  <c r="O42"/>
  <c r="Q42"/>
  <c r="B42"/>
  <c r="C42"/>
  <c r="E42"/>
  <c r="F42"/>
  <c r="D42"/>
  <c r="H42"/>
  <c r="M42"/>
  <c r="I42"/>
  <c r="J42"/>
  <c r="L42"/>
  <c r="K42"/>
  <c r="T42"/>
  <c r="X42"/>
  <c r="R42"/>
  <c r="U42"/>
  <c r="V42"/>
  <c r="W42"/>
  <c r="P42"/>
  <c r="S42"/>
  <c r="G41"/>
  <c r="C8"/>
  <c r="B8"/>
  <c r="F6"/>
  <c r="E6"/>
  <c r="A7"/>
  <c r="A8"/>
  <c r="A9"/>
  <c r="C19"/>
  <c r="B25"/>
  <c r="C25"/>
  <c r="E25"/>
  <c r="F25"/>
  <c r="D25"/>
  <c r="B24"/>
  <c r="C24"/>
  <c r="D24"/>
  <c r="B23"/>
  <c r="C23"/>
  <c r="B28"/>
  <c r="C28"/>
  <c r="E28"/>
  <c r="F28"/>
  <c r="D28"/>
  <c r="H28"/>
  <c r="B27"/>
  <c r="C27"/>
  <c r="E27"/>
  <c r="F27"/>
  <c r="D27"/>
  <c r="B29"/>
  <c r="C29"/>
  <c r="E29"/>
  <c r="F29"/>
  <c r="D29"/>
  <c r="G29"/>
  <c r="H29"/>
  <c r="B35"/>
  <c r="C35"/>
  <c r="E35"/>
  <c r="F35"/>
  <c r="D35"/>
  <c r="G35"/>
  <c r="H35"/>
  <c r="I35"/>
  <c r="J35"/>
  <c r="K35"/>
  <c r="B33"/>
  <c r="C33"/>
  <c r="E33"/>
  <c r="F33"/>
  <c r="D33"/>
  <c r="G33"/>
  <c r="H33"/>
  <c r="I33"/>
  <c r="J33"/>
  <c r="B32"/>
  <c r="C32"/>
  <c r="E32"/>
  <c r="F32"/>
  <c r="D32"/>
  <c r="G32"/>
  <c r="H32"/>
  <c r="I32"/>
  <c r="B31"/>
  <c r="C31"/>
  <c r="E31"/>
  <c r="F31"/>
  <c r="D31"/>
  <c r="G31"/>
  <c r="H31"/>
  <c r="B39"/>
  <c r="C39"/>
  <c r="E39"/>
  <c r="F39"/>
  <c r="D39"/>
  <c r="G39"/>
  <c r="H39"/>
  <c r="M39"/>
  <c r="I39"/>
  <c r="J39"/>
  <c r="L39"/>
  <c r="K39"/>
  <c r="B38"/>
  <c r="C38"/>
  <c r="E38"/>
  <c r="F38"/>
  <c r="D38"/>
  <c r="G38"/>
  <c r="H38"/>
  <c r="I38"/>
  <c r="J38"/>
  <c r="L38"/>
  <c r="K38"/>
  <c r="B37"/>
  <c r="C37"/>
  <c r="E37"/>
  <c r="F37"/>
  <c r="D37"/>
  <c r="G37"/>
  <c r="H37"/>
  <c r="I37"/>
  <c r="J37"/>
  <c r="K37"/>
  <c r="B41"/>
  <c r="C41"/>
  <c r="E41"/>
  <c r="F41"/>
  <c r="D41"/>
  <c r="H41"/>
  <c r="M41"/>
  <c r="I41"/>
  <c r="J41"/>
  <c r="L41"/>
  <c r="K41"/>
  <c r="N42"/>
  <c r="B43"/>
  <c r="C43"/>
  <c r="E43"/>
  <c r="F43"/>
  <c r="H43"/>
  <c r="I43"/>
  <c r="J43"/>
  <c r="L43"/>
  <c r="K43"/>
  <c r="T43"/>
  <c r="X43"/>
  <c r="N43"/>
  <c r="R43"/>
  <c r="U43"/>
  <c r="V43"/>
  <c r="W43"/>
  <c r="O43"/>
  <c r="Q43"/>
  <c r="P43"/>
  <c r="S43"/>
  <c r="B48"/>
  <c r="C48"/>
  <c r="E48"/>
  <c r="F48"/>
  <c r="H48"/>
  <c r="I48"/>
  <c r="J48"/>
  <c r="L48"/>
  <c r="K48"/>
  <c r="T48"/>
  <c r="X48"/>
  <c r="N48"/>
  <c r="R48"/>
  <c r="Y48"/>
  <c r="U48"/>
  <c r="V48"/>
  <c r="W48"/>
  <c r="O48"/>
  <c r="Q48"/>
  <c r="P48"/>
  <c r="AA48"/>
  <c r="AC48"/>
  <c r="AD48"/>
  <c r="AB48"/>
  <c r="S48"/>
  <c r="AE48"/>
  <c r="AF48"/>
  <c r="Z48"/>
  <c r="B47"/>
  <c r="C47"/>
  <c r="E47"/>
  <c r="F47"/>
  <c r="H47"/>
  <c r="I47"/>
  <c r="J47"/>
  <c r="L47"/>
  <c r="K47"/>
  <c r="T47"/>
  <c r="X47"/>
  <c r="N47"/>
  <c r="R47"/>
  <c r="Y47"/>
  <c r="U47"/>
  <c r="V47"/>
  <c r="W47"/>
  <c r="O47"/>
  <c r="Q47"/>
  <c r="P47"/>
  <c r="AA47"/>
  <c r="AC47"/>
  <c r="AD47"/>
  <c r="AB47"/>
  <c r="S47"/>
  <c r="AE47"/>
  <c r="Z47"/>
  <c r="B46"/>
  <c r="C46"/>
  <c r="E46"/>
  <c r="F46"/>
  <c r="H46"/>
  <c r="I46"/>
  <c r="J46"/>
  <c r="L46"/>
  <c r="K46"/>
  <c r="T46"/>
  <c r="X46"/>
  <c r="N46"/>
  <c r="R46"/>
  <c r="Y46"/>
  <c r="U46"/>
  <c r="V46"/>
  <c r="W46"/>
  <c r="O46"/>
  <c r="Q46"/>
  <c r="P46"/>
  <c r="S46"/>
  <c r="Z46"/>
  <c r="B45"/>
  <c r="C45"/>
  <c r="E45"/>
  <c r="F45"/>
  <c r="H45"/>
  <c r="I45"/>
  <c r="J45"/>
  <c r="L45"/>
  <c r="K45"/>
  <c r="T45"/>
  <c r="X45"/>
  <c r="N45"/>
  <c r="R45"/>
  <c r="U45"/>
  <c r="V45"/>
  <c r="W45"/>
  <c r="O45"/>
  <c r="Q45"/>
  <c r="P45"/>
  <c r="S45"/>
  <c r="B49"/>
  <c r="C49"/>
  <c r="E49"/>
  <c r="F49"/>
  <c r="H49"/>
  <c r="I49"/>
  <c r="J49"/>
  <c r="L49"/>
  <c r="K49"/>
  <c r="T49"/>
  <c r="X49"/>
  <c r="N49"/>
  <c r="R49"/>
  <c r="Y49"/>
  <c r="U49"/>
  <c r="V49"/>
  <c r="W49"/>
  <c r="O49"/>
  <c r="Q49"/>
  <c r="P49"/>
  <c r="AA49"/>
  <c r="AC49"/>
  <c r="AD49"/>
  <c r="AB49"/>
  <c r="S49"/>
  <c r="AE49"/>
  <c r="AF49"/>
  <c r="Z49"/>
  <c r="C2" i="13"/>
  <c r="C85"/>
  <c r="C84"/>
  <c r="C83"/>
  <c r="C82"/>
  <c r="C81"/>
  <c r="C80"/>
  <c r="C79"/>
  <c r="C78"/>
  <c r="C77"/>
  <c r="C76"/>
  <c r="C75"/>
  <c r="C74"/>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B87"/>
  <c r="C87"/>
  <c r="D87"/>
  <c r="B86"/>
  <c r="C86"/>
  <c r="D86"/>
  <c r="B72"/>
  <c r="C72"/>
  <c r="D72"/>
  <c r="B71"/>
  <c r="C71"/>
  <c r="D71"/>
  <c r="B70"/>
  <c r="C70"/>
  <c r="D70"/>
  <c r="B69"/>
  <c r="C69"/>
  <c r="D69"/>
  <c r="B68"/>
  <c r="C68"/>
  <c r="D68"/>
  <c r="B67"/>
  <c r="C67"/>
  <c r="D67"/>
  <c r="B66"/>
  <c r="C66"/>
  <c r="D66"/>
  <c r="B65"/>
  <c r="C65"/>
  <c r="D65"/>
  <c r="B64"/>
  <c r="C64"/>
  <c r="D64"/>
  <c r="B62"/>
  <c r="C62"/>
  <c r="D62"/>
  <c r="B61"/>
  <c r="C61"/>
  <c r="D61"/>
  <c r="B60"/>
  <c r="C60"/>
  <c r="D60"/>
  <c r="B59"/>
  <c r="C59"/>
  <c r="D59"/>
  <c r="B73"/>
  <c r="C73"/>
  <c r="D73"/>
  <c r="B63"/>
  <c r="C63"/>
  <c r="D63"/>
  <c r="B135"/>
  <c r="C135"/>
  <c r="D135"/>
  <c r="B134"/>
  <c r="C134"/>
  <c r="D134"/>
  <c r="B133"/>
  <c r="C133"/>
  <c r="D133"/>
  <c r="B132"/>
  <c r="C132"/>
  <c r="D132"/>
  <c r="B131"/>
  <c r="C131"/>
  <c r="D131"/>
  <c r="B130"/>
  <c r="C130"/>
  <c r="D130"/>
  <c r="B129"/>
  <c r="C129"/>
  <c r="D129"/>
  <c r="B128"/>
  <c r="C128"/>
  <c r="D128"/>
  <c r="B127"/>
  <c r="C127"/>
  <c r="D127"/>
  <c r="B126"/>
  <c r="C126"/>
  <c r="D126"/>
  <c r="B125"/>
  <c r="C125"/>
  <c r="D125"/>
  <c r="B124"/>
  <c r="C124"/>
  <c r="D124"/>
  <c r="B123"/>
  <c r="C123"/>
  <c r="D123"/>
  <c r="B122"/>
  <c r="C122"/>
  <c r="D122"/>
  <c r="B121"/>
  <c r="C121"/>
  <c r="D121"/>
  <c r="B120"/>
  <c r="C120"/>
  <c r="D120"/>
  <c r="B119"/>
  <c r="C119"/>
  <c r="D119"/>
  <c r="B118"/>
  <c r="C118"/>
  <c r="D118"/>
  <c r="B117"/>
  <c r="C117"/>
  <c r="D117"/>
  <c r="B116"/>
  <c r="C116"/>
  <c r="D116"/>
  <c r="B115"/>
  <c r="C115"/>
  <c r="D115"/>
  <c r="B114"/>
  <c r="C114"/>
  <c r="D114"/>
  <c r="B113"/>
  <c r="C113"/>
  <c r="D113"/>
  <c r="B112"/>
  <c r="C112"/>
  <c r="D112"/>
  <c r="B111"/>
  <c r="C111"/>
  <c r="D111"/>
  <c r="B110"/>
  <c r="C110"/>
  <c r="D110"/>
  <c r="B109"/>
  <c r="C109"/>
  <c r="D109"/>
  <c r="B108"/>
  <c r="C108"/>
  <c r="D108"/>
  <c r="B107"/>
  <c r="C107"/>
  <c r="D107"/>
  <c r="B106"/>
  <c r="C106"/>
  <c r="D106"/>
  <c r="B105"/>
  <c r="C105"/>
  <c r="D105"/>
  <c r="B104"/>
  <c r="C104"/>
  <c r="D104"/>
  <c r="B103"/>
  <c r="C103"/>
  <c r="D103"/>
  <c r="B102"/>
  <c r="C102"/>
  <c r="D102"/>
  <c r="B101"/>
  <c r="C101"/>
  <c r="D101"/>
  <c r="B100"/>
  <c r="C100"/>
  <c r="D100"/>
  <c r="B99"/>
  <c r="C99"/>
  <c r="D99"/>
  <c r="B98"/>
  <c r="C98"/>
  <c r="D98"/>
  <c r="B97"/>
  <c r="C97"/>
  <c r="D97"/>
  <c r="B96"/>
  <c r="C96"/>
  <c r="D96"/>
  <c r="B95"/>
  <c r="C95"/>
  <c r="D95"/>
  <c r="B94"/>
  <c r="C94"/>
  <c r="D94"/>
  <c r="B93"/>
  <c r="C93"/>
  <c r="D93"/>
  <c r="B92"/>
  <c r="C92"/>
  <c r="D92"/>
  <c r="B89"/>
  <c r="C89"/>
  <c r="D89"/>
  <c r="B88"/>
  <c r="C88"/>
  <c r="D88"/>
  <c r="B91"/>
  <c r="C91"/>
  <c r="D91"/>
  <c r="B90"/>
  <c r="C90"/>
  <c r="D90"/>
  <c r="B136"/>
  <c r="C136"/>
  <c r="D136"/>
  <c r="B160"/>
  <c r="C160"/>
  <c r="D160"/>
  <c r="B159"/>
  <c r="C159"/>
  <c r="D159"/>
  <c r="B158"/>
  <c r="C158"/>
  <c r="D158"/>
  <c r="B157"/>
  <c r="C157"/>
  <c r="D157"/>
  <c r="B156"/>
  <c r="C156"/>
  <c r="D156"/>
  <c r="B155"/>
  <c r="C155"/>
  <c r="D155"/>
  <c r="B154"/>
  <c r="C154"/>
  <c r="D154"/>
  <c r="B153"/>
  <c r="C153"/>
  <c r="D153"/>
  <c r="B152"/>
  <c r="C152"/>
  <c r="D152"/>
  <c r="B151"/>
  <c r="C151"/>
  <c r="D151"/>
  <c r="B150"/>
  <c r="C150"/>
  <c r="D150"/>
  <c r="B149"/>
  <c r="C149"/>
  <c r="D149"/>
  <c r="B148"/>
  <c r="C148"/>
  <c r="D148"/>
  <c r="B147"/>
  <c r="C147"/>
  <c r="D147"/>
  <c r="B146"/>
  <c r="C146"/>
  <c r="D146"/>
  <c r="B145"/>
  <c r="C145"/>
  <c r="D145"/>
  <c r="B144"/>
  <c r="C144"/>
  <c r="D144"/>
  <c r="B143"/>
  <c r="C143"/>
  <c r="D143"/>
  <c r="B142"/>
  <c r="C142"/>
  <c r="D142"/>
  <c r="B141"/>
  <c r="C141"/>
  <c r="D141"/>
  <c r="B140"/>
  <c r="C140"/>
  <c r="D140"/>
  <c r="B139"/>
  <c r="C139"/>
  <c r="D139"/>
  <c r="B138"/>
  <c r="C138"/>
  <c r="D138"/>
  <c r="B137"/>
  <c r="C137"/>
  <c r="D137"/>
  <c r="B45"/>
  <c r="D45"/>
  <c r="B43"/>
  <c r="D43"/>
  <c r="B2"/>
  <c r="D2"/>
  <c r="B18"/>
  <c r="D18"/>
  <c r="B17"/>
  <c r="D17"/>
  <c r="B16"/>
  <c r="D16"/>
  <c r="B15"/>
  <c r="D15"/>
  <c r="B14"/>
  <c r="D14"/>
  <c r="B13"/>
  <c r="D13"/>
  <c r="B12"/>
  <c r="D12"/>
  <c r="B11"/>
  <c r="D11"/>
  <c r="B10"/>
  <c r="D10"/>
  <c r="B9"/>
  <c r="D9"/>
  <c r="B8"/>
  <c r="D8"/>
  <c r="B7"/>
  <c r="D7"/>
  <c r="B6"/>
  <c r="D6"/>
  <c r="B5"/>
  <c r="D5"/>
  <c r="B4"/>
  <c r="D4"/>
  <c r="B3"/>
  <c r="D3"/>
  <c r="B32"/>
  <c r="D32"/>
  <c r="B44"/>
  <c r="D44"/>
  <c r="B42"/>
  <c r="D42"/>
  <c r="B41"/>
  <c r="D41"/>
  <c r="B40"/>
  <c r="D40"/>
  <c r="B39"/>
  <c r="D39"/>
  <c r="B38"/>
  <c r="D38"/>
  <c r="B37"/>
  <c r="D37"/>
  <c r="B36"/>
  <c r="D36"/>
  <c r="B35"/>
  <c r="D35"/>
  <c r="B34"/>
  <c r="D34"/>
  <c r="B33"/>
  <c r="D33"/>
  <c r="B51"/>
  <c r="D51"/>
  <c r="B58"/>
  <c r="D58"/>
  <c r="B57"/>
  <c r="D57"/>
  <c r="B56"/>
  <c r="D56"/>
  <c r="B55"/>
  <c r="D55"/>
  <c r="B54"/>
  <c r="D54"/>
  <c r="B53"/>
  <c r="D53"/>
  <c r="B52"/>
  <c r="D52"/>
  <c r="AX9" i="14"/>
  <c r="AX10"/>
  <c r="AX11"/>
  <c r="AX12"/>
  <c r="AX13"/>
  <c r="AX14"/>
  <c r="AX15"/>
  <c r="AX16"/>
  <c r="AX17"/>
  <c r="AX18"/>
  <c r="AX19"/>
  <c r="AX20"/>
  <c r="AX21"/>
  <c r="AX22"/>
  <c r="AX23"/>
  <c r="AX24"/>
  <c r="AX25"/>
  <c r="AX26"/>
  <c r="AX27"/>
  <c r="AX28"/>
  <c r="AX29"/>
  <c r="AX30"/>
  <c r="AX31"/>
  <c r="AX32"/>
  <c r="AX8"/>
  <c r="D44" i="2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AX160"/>
  <c r="AX159"/>
  <c r="AX158"/>
  <c r="AX157"/>
  <c r="AX156"/>
  <c r="AX155"/>
  <c r="AX154"/>
  <c r="AX153"/>
  <c r="AX152"/>
  <c r="AX151"/>
  <c r="AX150"/>
  <c r="AX149"/>
  <c r="AX148"/>
  <c r="AX147"/>
  <c r="AX146"/>
  <c r="AX145"/>
  <c r="AX144"/>
  <c r="AX143"/>
  <c r="AX142"/>
  <c r="AX141"/>
  <c r="AX140"/>
  <c r="AX139"/>
  <c r="AX138"/>
  <c r="AX137"/>
  <c r="AX136"/>
  <c r="AX135"/>
</calcChain>
</file>

<file path=xl/sharedStrings.xml><?xml version="1.0" encoding="utf-8"?>
<sst xmlns="http://schemas.openxmlformats.org/spreadsheetml/2006/main" count="1590" uniqueCount="406">
  <si>
    <t>For more details regarding these calculations, see J.A. Francis, 'The Terms of Trade and the Rise of Argentina in the Long Nineteenth Century', PhD diss., London School of Economics and Political Science, 2013, Appendix 4.1.</t>
    <phoneticPr fontId="3" type="noConversion"/>
  </si>
  <si>
    <r>
      <t xml:space="preserve">Price data fromJ. Álvarez, </t>
    </r>
    <r>
      <rPr>
        <i/>
        <sz val="12"/>
        <rFont val="Arial"/>
      </rPr>
      <t>Temas de historia económica argentina</t>
    </r>
    <r>
      <rPr>
        <sz val="12"/>
        <rFont val="Arial"/>
      </rPr>
      <t>, Buenos Aires, 1929, pp. 208-26.</t>
    </r>
    <phoneticPr fontId="3" type="noConversion"/>
  </si>
  <si>
    <t>Colour coding</t>
    <phoneticPr fontId="3" type="noConversion"/>
  </si>
  <si>
    <t>Yellow indicates my own calculations.</t>
    <phoneticPr fontId="3" type="noConversion"/>
  </si>
  <si>
    <t>Blue indicates my own interpolation.</t>
    <phoneticPr fontId="3" type="noConversion"/>
  </si>
  <si>
    <t>Author:</t>
    <phoneticPr fontId="3" type="noConversion"/>
  </si>
  <si>
    <t>Joseph A. Francis</t>
    <phoneticPr fontId="3" type="noConversion"/>
  </si>
  <si>
    <t>Date:</t>
    <phoneticPr fontId="3" type="noConversion"/>
  </si>
  <si>
    <t>8 August 2014</t>
    <phoneticPr fontId="3" type="noConversion"/>
  </si>
  <si>
    <t>Version:</t>
    <phoneticPr fontId="3" type="noConversion"/>
  </si>
  <si>
    <t>I</t>
    <phoneticPr fontId="3" type="noConversion"/>
  </si>
  <si>
    <t>These are the worksheets underlying J.A. Francis, 'Resolving the Halperín Paradox: The Terms of Trade and the Political Economy of Argentina in the Long Nineteenth Century', Argentina Working Paper 1, 2014, online at www.joefrancis.info/pdfs/Francis_Halperin_Paradox.pdf.</t>
    <phoneticPr fontId="3" type="noConversion"/>
  </si>
  <si>
    <r>
      <t xml:space="preserve">Price data from V. Vázquez-Presedo, </t>
    </r>
    <r>
      <rPr>
        <i/>
        <sz val="12"/>
        <rFont val="Arial"/>
      </rPr>
      <t>Estadísticas históricas argentinas (comparadas)</t>
    </r>
    <r>
      <rPr>
        <sz val="12"/>
        <rFont val="Arial"/>
      </rPr>
      <t xml:space="preserve">, II, </t>
    </r>
    <r>
      <rPr>
        <i/>
        <sz val="12"/>
        <rFont val="Arial"/>
      </rPr>
      <t>Segunda parte 1914-1939</t>
    </r>
    <r>
      <rPr>
        <sz val="12"/>
        <rFont val="Arial"/>
      </rPr>
      <t xml:space="preserve">, Buenos Aires, 1971, pp. 194-221. Supplemented using price data from A. Bunge, </t>
    </r>
    <r>
      <rPr>
        <i/>
        <sz val="12"/>
        <rFont val="Arial"/>
      </rPr>
      <t>Intercambio económico de la República, 1910-1917</t>
    </r>
    <r>
      <rPr>
        <sz val="12"/>
        <rFont val="Arial"/>
      </rPr>
      <t>, Buenos Aires, 1919, ch. 11.</t>
    </r>
    <phoneticPr fontId="3" type="noConversion"/>
  </si>
  <si>
    <r>
      <t>Price data from R. Cortés Conde, T. Halperin, and H. Gorostegui de Torres, ‘Evolución del comercio exterior argentino: Tomo I: Exportaciones: Parte primera 1864-1930’, mimeo, 1965, pp. 73-79. Supplemented using trade statistics reproduced in Dirección General de Estadística de la Nación (DGEN),</t>
    </r>
    <r>
      <rPr>
        <i/>
        <sz val="12"/>
        <rFont val="Arial"/>
      </rPr>
      <t xml:space="preserve"> Extracto estadístico de la República Argentina correspondiente al año 1915</t>
    </r>
    <r>
      <rPr>
        <sz val="12"/>
        <rFont val="Arial"/>
      </rPr>
      <t>, Buenos Aires, 1916, pp. 54-73.</t>
    </r>
    <phoneticPr fontId="3" type="noConversion"/>
  </si>
  <si>
    <t>Price data from J. Broide, ‘La evolución de los precios pecuarios argentinos en el periodo 1830-1850’, mimeo, 1951, pp. 41-43, 50, Cuadros 16-18, and 22</t>
    <phoneticPr fontId="3" type="noConversion"/>
  </si>
  <si>
    <r>
      <t xml:space="preserve">Price data from Anon., ‘Report on the Trade of the River Plate’, reproduced in R.A. Humphreys, </t>
    </r>
    <r>
      <rPr>
        <i/>
        <sz val="12"/>
        <rFont val="Arial"/>
      </rPr>
      <t>British Consular Reports on the Trade and Politics of Latin America 1824-26</t>
    </r>
    <r>
      <rPr>
        <sz val="12"/>
        <rFont val="Arial"/>
      </rPr>
      <t>, London, (1824) 1940, p. 33.</t>
    </r>
    <phoneticPr fontId="3" type="noConversion"/>
  </si>
  <si>
    <r>
      <t xml:space="preserve">Price data form Anon., ‘Precios corrientes de productos en Buenos Aires en los años 1821, 1822 y 1823’, in E.M. Barba, ed., </t>
    </r>
    <r>
      <rPr>
        <i/>
        <sz val="12"/>
        <rFont val="Arial"/>
      </rPr>
      <t>Informes sobre el comercio exterior de Buenos Aires durante el gobierno de Martín Rodríguez</t>
    </r>
    <r>
      <rPr>
        <sz val="12"/>
        <rFont val="Arial"/>
      </rPr>
      <t>, Buenos Aires, (1824) 1978, p. 60.</t>
    </r>
    <phoneticPr fontId="3" type="noConversion"/>
  </si>
  <si>
    <t>1890-1930</t>
    <phoneticPr fontId="3" type="noConversion"/>
  </si>
  <si>
    <t>1910-38</t>
    <phoneticPr fontId="3" type="noConversion"/>
  </si>
  <si>
    <t>1780-90</t>
    <phoneticPr fontId="3" type="noConversion"/>
  </si>
  <si>
    <t>1790-1809</t>
    <phoneticPr fontId="3" type="noConversion"/>
  </si>
  <si>
    <t>1809-21</t>
    <phoneticPr fontId="3" type="noConversion"/>
  </si>
  <si>
    <t>1821-50</t>
    <phoneticPr fontId="3" type="noConversion"/>
  </si>
  <si>
    <t>1825-62</t>
    <phoneticPr fontId="3" type="noConversion"/>
  </si>
  <si>
    <t>1862-70</t>
    <phoneticPr fontId="3" type="noConversion"/>
  </si>
  <si>
    <t>1850-62</t>
    <phoneticPr fontId="3" type="noConversion"/>
  </si>
  <si>
    <t>1862-80</t>
    <phoneticPr fontId="3" type="noConversion"/>
  </si>
  <si>
    <t>1880-90</t>
    <phoneticPr fontId="3" type="noConversion"/>
  </si>
  <si>
    <t>British Px</t>
    <phoneticPr fontId="3" type="noConversion"/>
  </si>
  <si>
    <t>US Px</t>
    <phoneticPr fontId="3" type="noConversion"/>
  </si>
  <si>
    <t>France Px</t>
    <phoneticPr fontId="3" type="noConversion"/>
  </si>
  <si>
    <t>Levy-Leboyer</t>
  </si>
  <si>
    <t>Hoffman</t>
    <phoneticPr fontId="3" type="noConversion"/>
  </si>
  <si>
    <t>Italy Px</t>
    <phoneticPr fontId="3" type="noConversion"/>
  </si>
  <si>
    <t>Germany Px</t>
    <phoneticPr fontId="3" type="noConversion"/>
  </si>
  <si>
    <t>Prices</t>
    <phoneticPr fontId="3" type="noConversion"/>
  </si>
  <si>
    <t>Exports</t>
    <phoneticPr fontId="3" type="noConversion"/>
  </si>
  <si>
    <t>o$s per ton</t>
    <phoneticPr fontId="3" type="noConversion"/>
  </si>
  <si>
    <r>
      <t xml:space="preserve">Prices are from Bunge, </t>
    </r>
    <r>
      <rPr>
        <i/>
        <sz val="12"/>
        <rFont val="Arial"/>
      </rPr>
      <t>Intercambio económico</t>
    </r>
    <phoneticPr fontId="3" type="noConversion"/>
  </si>
  <si>
    <t>Quebracho extract</t>
    <phoneticPr fontId="3" type="noConversion"/>
  </si>
  <si>
    <t>Beef, frozen</t>
    <phoneticPr fontId="3" type="noConversion"/>
  </si>
  <si>
    <t>Beef, conserved</t>
    <phoneticPr fontId="3" type="noConversion"/>
  </si>
  <si>
    <t>Mutton, frozen and chilled</t>
    <phoneticPr fontId="3" type="noConversion"/>
  </si>
  <si>
    <t>Guts, salted</t>
    <phoneticPr fontId="3" type="noConversion"/>
  </si>
  <si>
    <t>Offal, frozen</t>
    <phoneticPr fontId="3" type="noConversion"/>
  </si>
  <si>
    <t>Casein</t>
  </si>
  <si>
    <t>Butter</t>
  </si>
  <si>
    <t>Wool, washed</t>
    <phoneticPr fontId="3" type="noConversion"/>
  </si>
  <si>
    <t>Sheep skins, bare</t>
    <phoneticPr fontId="3" type="noConversion"/>
  </si>
  <si>
    <t>Cattle*</t>
    <phoneticPr fontId="3" type="noConversion"/>
  </si>
  <si>
    <t>Wheat flour</t>
    <phoneticPr fontId="3" type="noConversion"/>
  </si>
  <si>
    <t>Goat skins</t>
    <phoneticPr fontId="3" type="noConversion"/>
  </si>
  <si>
    <t>Beef, chilled</t>
    <phoneticPr fontId="3" type="noConversion"/>
  </si>
  <si>
    <t>Beef, conserved</t>
    <phoneticPr fontId="3" type="noConversion"/>
  </si>
  <si>
    <t>Beef, frozen</t>
    <phoneticPr fontId="3" type="noConversion"/>
  </si>
  <si>
    <t>Quebracho logs</t>
    <phoneticPr fontId="3" type="noConversion"/>
  </si>
  <si>
    <t>Quebracho extract</t>
    <phoneticPr fontId="3" type="noConversion"/>
  </si>
  <si>
    <t>Sheep skins, bare</t>
    <phoneticPr fontId="3" type="noConversion"/>
  </si>
  <si>
    <t>Mutton, frozen and chilled</t>
    <phoneticPr fontId="3" type="noConversion"/>
  </si>
  <si>
    <t>Guts, salted</t>
    <phoneticPr fontId="3" type="noConversion"/>
  </si>
  <si>
    <t>Offal, frozen</t>
    <phoneticPr fontId="3" type="noConversion"/>
  </si>
  <si>
    <r>
      <t xml:space="preserve">Price data from Z. Moutoukias, ‘Comercio y producción’, in Academia Nacional de Historia, ed., </t>
    </r>
    <r>
      <rPr>
        <i/>
        <sz val="12"/>
        <rFont val="Arial"/>
      </rPr>
      <t>Nueva historia de la Nación Argentina</t>
    </r>
    <r>
      <rPr>
        <sz val="12"/>
        <rFont val="Arial"/>
      </rPr>
      <t>, IV, Buenos Aires, 2000, p. 804, Cuadro 3.</t>
    </r>
  </si>
  <si>
    <t>o$s per ton (original)</t>
  </si>
  <si>
    <t>o$s per ton (corrected)</t>
  </si>
  <si>
    <t>o$s per 10kg</t>
  </si>
  <si>
    <t>Dry hide prices</t>
    <phoneticPr fontId="3" type="noConversion"/>
  </si>
  <si>
    <r>
      <t xml:space="preserve">Reals per </t>
    </r>
    <r>
      <rPr>
        <i/>
        <sz val="12"/>
        <rFont val="Arial"/>
      </rPr>
      <t>pesada</t>
    </r>
  </si>
  <si>
    <r>
      <t xml:space="preserve">Reals per 35lb </t>
    </r>
    <r>
      <rPr>
        <i/>
        <sz val="12"/>
        <rFont val="Arial"/>
      </rPr>
      <t>pesada</t>
    </r>
  </si>
  <si>
    <r>
      <t xml:space="preserve">Paper pesos per 35lb </t>
    </r>
    <r>
      <rPr>
        <i/>
        <sz val="12"/>
        <rFont val="Arial"/>
      </rPr>
      <t xml:space="preserve">pesada, </t>
    </r>
    <r>
      <rPr>
        <sz val="12"/>
        <rFont val="Arial"/>
      </rPr>
      <t>best quality</t>
    </r>
  </si>
  <si>
    <r>
      <t xml:space="preserve">Paper pesos per 35lb </t>
    </r>
    <r>
      <rPr>
        <i/>
        <sz val="12"/>
        <rFont val="Arial"/>
      </rPr>
      <t xml:space="preserve">pesada, </t>
    </r>
    <r>
      <rPr>
        <sz val="12"/>
        <rFont val="Arial"/>
      </rPr>
      <t>best quality to North America</t>
    </r>
  </si>
  <si>
    <r>
      <t xml:space="preserve">Paper pesos per 35lb </t>
    </r>
    <r>
      <rPr>
        <i/>
        <sz val="12"/>
        <rFont val="Arial"/>
      </rPr>
      <t xml:space="preserve">pesada, </t>
    </r>
    <r>
      <rPr>
        <sz val="12"/>
        <rFont val="Arial"/>
      </rPr>
      <t>best quality to Spain</t>
    </r>
  </si>
  <si>
    <t>Price relatives</t>
    <phoneticPr fontId="3" type="noConversion"/>
  </si>
  <si>
    <t>Pesadas</t>
    <phoneticPr fontId="3" type="noConversion"/>
  </si>
  <si>
    <t>Reals per pesada</t>
    <phoneticPr fontId="3" type="noConversion"/>
  </si>
  <si>
    <t>Jan</t>
    <phoneticPr fontId="3" type="noConversion"/>
  </si>
  <si>
    <t>Index</t>
    <phoneticPr fontId="3" type="noConversion"/>
  </si>
  <si>
    <t>Pesos per arroba</t>
    <phoneticPr fontId="3" type="noConversion"/>
  </si>
  <si>
    <t>Pesos per 1000</t>
    <phoneticPr fontId="3" type="noConversion"/>
  </si>
  <si>
    <t>Pesos per quintal</t>
    <phoneticPr fontId="3" type="noConversion"/>
  </si>
  <si>
    <t>Jan</t>
    <phoneticPr fontId="3" type="noConversion"/>
  </si>
  <si>
    <t>1921b</t>
    <phoneticPr fontId="3" type="noConversion"/>
  </si>
  <si>
    <t>Wheat</t>
    <phoneticPr fontId="3" type="noConversion"/>
  </si>
  <si>
    <t>Px weights</t>
    <phoneticPr fontId="3" type="noConversion"/>
  </si>
  <si>
    <t>Unit values</t>
    <phoneticPr fontId="3" type="noConversion"/>
  </si>
  <si>
    <t>1914+</t>
    <phoneticPr fontId="3" type="noConversion"/>
  </si>
  <si>
    <t>1916+</t>
    <phoneticPr fontId="3" type="noConversion"/>
  </si>
  <si>
    <t>1920+</t>
    <phoneticPr fontId="3" type="noConversion"/>
  </si>
  <si>
    <t>Px</t>
    <phoneticPr fontId="3" type="noConversion"/>
  </si>
  <si>
    <t>Constituent indices</t>
    <phoneticPr fontId="3" type="noConversion"/>
  </si>
  <si>
    <t>Moutoukias</t>
  </si>
  <si>
    <t>Broide</t>
  </si>
  <si>
    <t>1790-1822</t>
    <phoneticPr fontId="3" type="noConversion"/>
  </si>
  <si>
    <t>September</t>
  </si>
  <si>
    <t>October</t>
  </si>
  <si>
    <t>November</t>
  </si>
  <si>
    <t>December</t>
  </si>
  <si>
    <t>Jan</t>
  </si>
  <si>
    <t>Feb</t>
  </si>
  <si>
    <t>Jerked beef</t>
    <phoneticPr fontId="3" type="noConversion"/>
  </si>
  <si>
    <t>Tons</t>
    <phoneticPr fontId="3" type="noConversion"/>
  </si>
  <si>
    <t>o$s</t>
    <phoneticPr fontId="3" type="noConversion"/>
  </si>
  <si>
    <t>Dirty sheep skins</t>
    <phoneticPr fontId="3" type="noConversion"/>
  </si>
  <si>
    <t>Goat skins</t>
    <phoneticPr fontId="3" type="noConversion"/>
  </si>
  <si>
    <t>Kilos</t>
    <phoneticPr fontId="3" type="noConversion"/>
  </si>
  <si>
    <t>Afrecho y afrechillo</t>
    <phoneticPr fontId="3" type="noConversion"/>
  </si>
  <si>
    <t>Algodón</t>
    <phoneticPr fontId="3" type="noConversion"/>
  </si>
  <si>
    <t>Azúcar</t>
    <phoneticPr fontId="3" type="noConversion"/>
  </si>
  <si>
    <t>Rollizos de quebracho</t>
    <phoneticPr fontId="3" type="noConversion"/>
  </si>
  <si>
    <t>Jan</t>
    <phoneticPr fontId="3" type="noConversion"/>
  </si>
  <si>
    <t>Feb</t>
    <phoneticPr fontId="3" type="noConversion"/>
  </si>
  <si>
    <t>Export values (1,000s £s)</t>
    <phoneticPr fontId="3" type="noConversion"/>
  </si>
  <si>
    <t>Cotton (tns)</t>
    <phoneticPr fontId="3" type="noConversion"/>
  </si>
  <si>
    <t>Sugar (tns)</t>
    <phoneticPr fontId="3" type="noConversion"/>
  </si>
  <si>
    <t>Rubber (tns)</t>
    <phoneticPr fontId="3" type="noConversion"/>
  </si>
  <si>
    <t>Cocoa (tns)</t>
    <phoneticPr fontId="3" type="noConversion"/>
  </si>
  <si>
    <t>Skins (tns)</t>
    <phoneticPr fontId="3" type="noConversion"/>
  </si>
  <si>
    <t>Yerba (tns)</t>
    <phoneticPr fontId="3" type="noConversion"/>
  </si>
  <si>
    <t>Jerky (tns)</t>
    <phoneticPr fontId="3" type="noConversion"/>
  </si>
  <si>
    <t>Wheat (tns)</t>
    <phoneticPr fontId="3" type="noConversion"/>
  </si>
  <si>
    <t>Coffee (1,000 sacks of 60kg)</t>
    <phoneticPr fontId="3" type="noConversion"/>
  </si>
  <si>
    <t>1850-90</t>
    <phoneticPr fontId="3" type="noConversion"/>
  </si>
  <si>
    <t>1870-1910</t>
    <phoneticPr fontId="3" type="noConversion"/>
  </si>
  <si>
    <t>o$s per 100kg</t>
    <phoneticPr fontId="3" type="noConversion"/>
  </si>
  <si>
    <t>Linseed</t>
    <phoneticPr fontId="3" type="noConversion"/>
  </si>
  <si>
    <t>Wheat</t>
    <phoneticPr fontId="3" type="noConversion"/>
  </si>
  <si>
    <t>o$s</t>
    <phoneticPr fontId="3" type="noConversion"/>
  </si>
  <si>
    <t>Wheat</t>
    <phoneticPr fontId="3" type="noConversion"/>
  </si>
  <si>
    <t>Tons</t>
    <phoneticPr fontId="3" type="noConversion"/>
  </si>
  <si>
    <t>o$s</t>
    <phoneticPr fontId="3" type="noConversion"/>
  </si>
  <si>
    <t>Wheat</t>
    <phoneticPr fontId="3" type="noConversion"/>
  </si>
  <si>
    <t>Mar</t>
  </si>
  <si>
    <t>Apr</t>
  </si>
  <si>
    <t>May</t>
  </si>
  <si>
    <t>Jun</t>
  </si>
  <si>
    <t>Jul</t>
  </si>
  <si>
    <t>Aug</t>
  </si>
  <si>
    <t>Sep</t>
  </si>
  <si>
    <t>1837-64</t>
    <phoneticPr fontId="3" type="noConversion"/>
  </si>
  <si>
    <t>1864+</t>
    <phoneticPr fontId="3" type="noConversion"/>
  </si>
  <si>
    <t>1864-66</t>
    <phoneticPr fontId="3" type="noConversion"/>
  </si>
  <si>
    <t>1864-81</t>
    <phoneticPr fontId="3" type="noConversion"/>
  </si>
  <si>
    <t>1866-79</t>
    <phoneticPr fontId="3" type="noConversion"/>
  </si>
  <si>
    <t>1879-80</t>
    <phoneticPr fontId="3" type="noConversion"/>
  </si>
  <si>
    <t>1880-87</t>
    <phoneticPr fontId="3" type="noConversion"/>
  </si>
  <si>
    <t>1887-93</t>
    <phoneticPr fontId="3" type="noConversion"/>
  </si>
  <si>
    <t>1893-96</t>
    <phoneticPr fontId="3" type="noConversion"/>
  </si>
  <si>
    <t>1881-87</t>
    <phoneticPr fontId="3" type="noConversion"/>
  </si>
  <si>
    <t>1870-80</t>
    <phoneticPr fontId="3" type="noConversion"/>
  </si>
  <si>
    <t>1880-1910</t>
    <phoneticPr fontId="3" type="noConversion"/>
  </si>
  <si>
    <t>Constituent indices</t>
    <phoneticPr fontId="3" type="noConversion"/>
  </si>
  <si>
    <t>Cotton</t>
    <phoneticPr fontId="3" type="noConversion"/>
  </si>
  <si>
    <t>Sugar</t>
    <phoneticPr fontId="3" type="noConversion"/>
  </si>
  <si>
    <t>Rubber</t>
    <phoneticPr fontId="3" type="noConversion"/>
  </si>
  <si>
    <t>Cocoa</t>
    <phoneticPr fontId="3" type="noConversion"/>
  </si>
  <si>
    <t>Coffee</t>
    <phoneticPr fontId="3" type="noConversion"/>
  </si>
  <si>
    <t>Skins</t>
    <phoneticPr fontId="3" type="noConversion"/>
  </si>
  <si>
    <t>Yerba</t>
    <phoneticPr fontId="3" type="noConversion"/>
  </si>
  <si>
    <t>Jerky</t>
    <phoneticPr fontId="3" type="noConversion"/>
  </si>
  <si>
    <t>Px</t>
    <phoneticPr fontId="3" type="noConversion"/>
  </si>
  <si>
    <t>1831b</t>
    <phoneticPr fontId="3" type="noConversion"/>
  </si>
  <si>
    <t>1831c</t>
    <phoneticPr fontId="3" type="noConversion"/>
  </si>
  <si>
    <t>Cuenca</t>
    <phoneticPr fontId="3" type="noConversion"/>
  </si>
  <si>
    <t>Imlah</t>
    <phoneticPr fontId="3" type="noConversion"/>
  </si>
  <si>
    <t>Feinstein</t>
    <phoneticPr fontId="3" type="noConversion"/>
  </si>
  <si>
    <t>Exchange rates</t>
    <phoneticPr fontId="3" type="noConversion"/>
  </si>
  <si>
    <t>Current values</t>
    <phoneticPr fontId="3" type="noConversion"/>
  </si>
  <si>
    <t>Fisher volume index</t>
    <phoneticPr fontId="3" type="noConversion"/>
  </si>
  <si>
    <t>Price index</t>
    <phoneticPr fontId="3" type="noConversion"/>
  </si>
  <si>
    <t>Hides, salted</t>
    <phoneticPr fontId="3" type="noConversion"/>
  </si>
  <si>
    <t>Jerked beef</t>
    <phoneticPr fontId="3" type="noConversion"/>
  </si>
  <si>
    <t>Fat and tallow</t>
    <phoneticPr fontId="3" type="noConversion"/>
  </si>
  <si>
    <t>Cattle*</t>
    <phoneticPr fontId="3" type="noConversion"/>
  </si>
  <si>
    <t>Sheep skins</t>
    <phoneticPr fontId="3" type="noConversion"/>
  </si>
  <si>
    <t>Linseed</t>
    <phoneticPr fontId="3" type="noConversion"/>
  </si>
  <si>
    <t>Wheat flour</t>
    <phoneticPr fontId="3" type="noConversion"/>
  </si>
  <si>
    <t>Goat skins</t>
    <phoneticPr fontId="3" type="noConversion"/>
  </si>
  <si>
    <t>Oats</t>
  </si>
  <si>
    <t>Rye</t>
  </si>
  <si>
    <t>Rye</t>
    <phoneticPr fontId="3" type="noConversion"/>
  </si>
  <si>
    <t>Barley</t>
  </si>
  <si>
    <t>Bran</t>
  </si>
  <si>
    <t>Cotton</t>
  </si>
  <si>
    <t>Sugar</t>
  </si>
  <si>
    <t>Quebracho logs</t>
    <phoneticPr fontId="3" type="noConversion"/>
  </si>
  <si>
    <t>Jan</t>
    <phoneticPr fontId="3" type="noConversion"/>
  </si>
  <si>
    <t>Bristles and hair</t>
    <phoneticPr fontId="3" type="noConversion"/>
  </si>
  <si>
    <t>Dried cattle hides</t>
    <phoneticPr fontId="3" type="noConversion"/>
  </si>
  <si>
    <t>Salted cattle hides</t>
    <phoneticPr fontId="3" type="noConversion"/>
  </si>
  <si>
    <t>Beef, chilled</t>
    <phoneticPr fontId="3" type="noConversion"/>
  </si>
  <si>
    <t>Carne conservada</t>
    <phoneticPr fontId="3" type="noConversion"/>
  </si>
  <si>
    <t>Tripas saladas</t>
    <phoneticPr fontId="3" type="noConversion"/>
  </si>
  <si>
    <t>Cueros vacunos secos</t>
    <phoneticPr fontId="3" type="noConversion"/>
  </si>
  <si>
    <t>Oct</t>
  </si>
  <si>
    <t>Nov</t>
  </si>
  <si>
    <t>Dec</t>
  </si>
  <si>
    <t>March</t>
  </si>
  <si>
    <t>Menudencias de carnes congeladas</t>
    <phoneticPr fontId="3" type="noConversion"/>
  </si>
  <si>
    <t>Sebo y grasa derretida</t>
    <phoneticPr fontId="3" type="noConversion"/>
  </si>
  <si>
    <t>Caseina</t>
    <phoneticPr fontId="3" type="noConversion"/>
  </si>
  <si>
    <t>Manteca de vaca</t>
    <phoneticPr fontId="3" type="noConversion"/>
  </si>
  <si>
    <t>Lana sucia</t>
    <phoneticPr fontId="3" type="noConversion"/>
  </si>
  <si>
    <t>Cueros lanares sucios</t>
    <phoneticPr fontId="3" type="noConversion"/>
  </si>
  <si>
    <t>Wool, washed</t>
    <phoneticPr fontId="3" type="noConversion"/>
  </si>
  <si>
    <t>Wool, clean</t>
    <phoneticPr fontId="3" type="noConversion"/>
  </si>
  <si>
    <t>Components of the constituent indices</t>
    <phoneticPr fontId="3" type="noConversion"/>
  </si>
  <si>
    <t>1822-29</t>
    <phoneticPr fontId="3" type="noConversion"/>
  </si>
  <si>
    <t>1829-33</t>
    <phoneticPr fontId="3" type="noConversion"/>
  </si>
  <si>
    <t>1833-37</t>
    <phoneticPr fontId="3" type="noConversion"/>
  </si>
  <si>
    <t>1829-33</t>
    <phoneticPr fontId="3" type="noConversion"/>
  </si>
  <si>
    <t>1833-51</t>
    <phoneticPr fontId="3" type="noConversion"/>
  </si>
  <si>
    <t>Cortés Conde et al</t>
  </si>
  <si>
    <t>DGEN</t>
  </si>
  <si>
    <t>The final (own-price) Px and (proxy) Pm for Argentina.</t>
    <phoneticPr fontId="3" type="noConversion"/>
  </si>
  <si>
    <t>Original units and currencies</t>
    <phoneticPr fontId="3" type="noConversion"/>
  </si>
  <si>
    <t>Anon. 1</t>
    <phoneticPr fontId="3" type="noConversion"/>
  </si>
  <si>
    <t>Anon. 2</t>
    <phoneticPr fontId="3" type="noConversion"/>
  </si>
  <si>
    <t>Best quality</t>
    <phoneticPr fontId="3" type="noConversion"/>
  </si>
  <si>
    <t>1780+</t>
    <phoneticPr fontId="3" type="noConversion"/>
  </si>
  <si>
    <t>1790+</t>
    <phoneticPr fontId="3" type="noConversion"/>
  </si>
  <si>
    <t>1809+</t>
    <phoneticPr fontId="3" type="noConversion"/>
  </si>
  <si>
    <t>1821+</t>
    <phoneticPr fontId="3" type="noConversion"/>
  </si>
  <si>
    <t>1825+</t>
    <phoneticPr fontId="3" type="noConversion"/>
  </si>
  <si>
    <t>1862+</t>
    <phoneticPr fontId="3" type="noConversion"/>
  </si>
  <si>
    <t>1850+</t>
    <phoneticPr fontId="3" type="noConversion"/>
  </si>
  <si>
    <t>1880+</t>
    <phoneticPr fontId="3" type="noConversion"/>
  </si>
  <si>
    <t>1870+</t>
    <phoneticPr fontId="3" type="noConversion"/>
  </si>
  <si>
    <t>Grams of silver in hard peso</t>
  </si>
  <si>
    <t>Grams of silver per £ in London</t>
  </si>
  <si>
    <t>Hard pesos per £ (est.)</t>
  </si>
  <si>
    <t>Feb</t>
    <phoneticPr fontId="3" type="noConversion"/>
  </si>
  <si>
    <t>Jan</t>
    <phoneticPr fontId="3" type="noConversion"/>
  </si>
  <si>
    <t>Feb</t>
    <phoneticPr fontId="3" type="noConversion"/>
  </si>
  <si>
    <t>Monthly (reals per pesada)</t>
    <phoneticPr fontId="3" type="noConversion"/>
  </si>
  <si>
    <t>Annual (reals per pesada)</t>
    <phoneticPr fontId="3" type="noConversion"/>
  </si>
  <si>
    <t>Annual (paper pesos)</t>
    <phoneticPr fontId="3" type="noConversion"/>
  </si>
  <si>
    <t>Monthly (paper pesos)</t>
    <phoneticPr fontId="3" type="noConversion"/>
  </si>
  <si>
    <t>Salted cow hides</t>
    <phoneticPr fontId="3" type="noConversion"/>
  </si>
  <si>
    <t>Horse hides</t>
    <phoneticPr fontId="3" type="noConversion"/>
  </si>
  <si>
    <t>Ox hides, to North America</t>
    <phoneticPr fontId="3" type="noConversion"/>
  </si>
  <si>
    <t>Ox hides, to Spain</t>
    <phoneticPr fontId="3" type="noConversion"/>
  </si>
  <si>
    <t>Melted tallow</t>
    <phoneticPr fontId="3" type="noConversion"/>
  </si>
  <si>
    <t>Common wool</t>
    <phoneticPr fontId="3" type="noConversion"/>
  </si>
  <si>
    <t>Mixed horns</t>
    <phoneticPr fontId="3" type="noConversion"/>
  </si>
  <si>
    <t>January</t>
    <phoneticPr fontId="3" type="noConversion"/>
  </si>
  <si>
    <t>February</t>
    <phoneticPr fontId="3" type="noConversion"/>
  </si>
  <si>
    <t>Pesos per hide</t>
    <phoneticPr fontId="3" type="noConversion"/>
  </si>
  <si>
    <t>1896-1925</t>
    <phoneticPr fontId="3" type="noConversion"/>
  </si>
  <si>
    <t>1910-38</t>
    <phoneticPr fontId="3" type="noConversion"/>
  </si>
  <si>
    <t>1925-38</t>
    <phoneticPr fontId="3" type="noConversion"/>
  </si>
  <si>
    <t>£ each</t>
    <phoneticPr fontId="3" type="noConversion"/>
  </si>
  <si>
    <t>1822+</t>
    <phoneticPr fontId="3" type="noConversion"/>
  </si>
  <si>
    <t>1833+</t>
    <phoneticPr fontId="3" type="noConversion"/>
  </si>
  <si>
    <t>1829+</t>
    <phoneticPr fontId="3" type="noConversion"/>
  </si>
  <si>
    <t>1893+</t>
    <phoneticPr fontId="3" type="noConversion"/>
  </si>
  <si>
    <t>1878+</t>
    <phoneticPr fontId="3" type="noConversion"/>
  </si>
  <si>
    <t>1879+</t>
    <phoneticPr fontId="3" type="noConversion"/>
  </si>
  <si>
    <t>1887+</t>
    <phoneticPr fontId="3" type="noConversion"/>
  </si>
  <si>
    <t>1880+</t>
    <phoneticPr fontId="3" type="noConversion"/>
  </si>
  <si>
    <t>1893+</t>
    <phoneticPr fontId="3" type="noConversion"/>
  </si>
  <si>
    <t>1879+</t>
    <phoneticPr fontId="3" type="noConversion"/>
  </si>
  <si>
    <t>1880+</t>
    <phoneticPr fontId="3" type="noConversion"/>
  </si>
  <si>
    <t>Export weights</t>
    <phoneticPr fontId="3" type="noConversion"/>
  </si>
  <si>
    <t>1796+</t>
    <phoneticPr fontId="3" type="noConversion"/>
  </si>
  <si>
    <t>1837+</t>
    <phoneticPr fontId="3" type="noConversion"/>
  </si>
  <si>
    <t>1866+</t>
    <phoneticPr fontId="3" type="noConversion"/>
  </si>
  <si>
    <t>1881+</t>
    <phoneticPr fontId="3" type="noConversion"/>
  </si>
  <si>
    <t>1896+</t>
    <phoneticPr fontId="3" type="noConversion"/>
  </si>
  <si>
    <t>1910+</t>
    <phoneticPr fontId="3" type="noConversion"/>
  </si>
  <si>
    <t>1913+</t>
    <phoneticPr fontId="3" type="noConversion"/>
  </si>
  <si>
    <t>USA</t>
  </si>
  <si>
    <t>France</t>
  </si>
  <si>
    <t>Germany</t>
  </si>
  <si>
    <t>Italy</t>
  </si>
  <si>
    <t>Ox hides</t>
    <phoneticPr fontId="3" type="noConversion"/>
  </si>
  <si>
    <t>April</t>
  </si>
  <si>
    <t>June</t>
  </si>
  <si>
    <t>July</t>
  </si>
  <si>
    <t>August</t>
  </si>
  <si>
    <t>Trigo</t>
    <phoneticPr fontId="3" type="noConversion"/>
  </si>
  <si>
    <t>Harina de trigo</t>
    <phoneticPr fontId="3" type="noConversion"/>
  </si>
  <si>
    <t>Lino</t>
    <phoneticPr fontId="3" type="noConversion"/>
  </si>
  <si>
    <t>Avena</t>
    <phoneticPr fontId="3" type="noConversion"/>
  </si>
  <si>
    <t>Centeno</t>
    <phoneticPr fontId="3" type="noConversion"/>
  </si>
  <si>
    <t>Cebada</t>
    <phoneticPr fontId="3" type="noConversion"/>
  </si>
  <si>
    <t>Extracto de quebracho</t>
    <phoneticPr fontId="3" type="noConversion"/>
  </si>
  <si>
    <t>High</t>
    <phoneticPr fontId="3" type="noConversion"/>
  </si>
  <si>
    <t>Brazil</t>
  </si>
  <si>
    <t>1878+</t>
    <phoneticPr fontId="3" type="noConversion"/>
  </si>
  <si>
    <t>1887+</t>
    <phoneticPr fontId="3" type="noConversion"/>
  </si>
  <si>
    <t>1864+</t>
    <phoneticPr fontId="3" type="noConversion"/>
  </si>
  <si>
    <t>Jerked beef</t>
    <phoneticPr fontId="3" type="noConversion"/>
  </si>
  <si>
    <t>Cattle</t>
    <phoneticPr fontId="3" type="noConversion"/>
  </si>
  <si>
    <t>o$s each</t>
    <phoneticPr fontId="3" type="noConversion"/>
  </si>
  <si>
    <t>Sheep skins</t>
    <phoneticPr fontId="3" type="noConversion"/>
  </si>
  <si>
    <t>Goat skins</t>
    <phoneticPr fontId="3" type="noConversion"/>
  </si>
  <si>
    <t>Wool</t>
    <phoneticPr fontId="3" type="noConversion"/>
  </si>
  <si>
    <t>o$s per 10kg</t>
    <phoneticPr fontId="3" type="noConversion"/>
  </si>
  <si>
    <t>Salted hides</t>
    <phoneticPr fontId="3" type="noConversion"/>
  </si>
  <si>
    <t>The weights used to calculate Argentina's Px.</t>
    <phoneticPr fontId="3" type="noConversion"/>
  </si>
  <si>
    <t>The calculation of Argentina's Px.</t>
    <phoneticPr fontId="3" type="noConversion"/>
  </si>
  <si>
    <t>The hide price series used in Argentina's Px.</t>
    <phoneticPr fontId="3" type="noConversion"/>
  </si>
  <si>
    <t>The price series used in Argentina's Px.</t>
    <phoneticPr fontId="3" type="noConversion"/>
  </si>
  <si>
    <t>The exchange rates used in Argentina's Px.</t>
    <phoneticPr fontId="3" type="noConversion"/>
  </si>
  <si>
    <t>The calculation of Argentina's Pm.</t>
    <phoneticPr fontId="3" type="noConversion"/>
  </si>
  <si>
    <t>The weights used to calculate Argentina's Pm.</t>
    <phoneticPr fontId="3" type="noConversion"/>
  </si>
  <si>
    <t>The indices used to calculate Argentina's Pm.</t>
    <phoneticPr fontId="3" type="noConversion"/>
  </si>
  <si>
    <t>1887-93</t>
    <phoneticPr fontId="3" type="noConversion"/>
  </si>
  <si>
    <t>Federico et al</t>
    <phoneticPr fontId="3" type="noConversion"/>
  </si>
  <si>
    <t>Irwin</t>
    <phoneticPr fontId="3" type="noConversion"/>
  </si>
  <si>
    <t>United Nations</t>
    <phoneticPr fontId="3" type="noConversion"/>
  </si>
  <si>
    <t>Pm</t>
    <phoneticPr fontId="3" type="noConversion"/>
  </si>
  <si>
    <t>1780-1850</t>
    <phoneticPr fontId="3" type="noConversion"/>
  </si>
  <si>
    <t>1825-70</t>
    <phoneticPr fontId="3" type="noConversion"/>
  </si>
  <si>
    <t>US dollar</t>
    <phoneticPr fontId="3" type="noConversion"/>
  </si>
  <si>
    <t>£ per 1,000</t>
    <phoneticPr fontId="3" type="noConversion"/>
  </si>
  <si>
    <t>Interpolation for Germany</t>
    <phoneticPr fontId="3" type="noConversion"/>
  </si>
  <si>
    <t>French franc</t>
    <phoneticPr fontId="3" type="noConversion"/>
  </si>
  <si>
    <t>German mark</t>
    <phoneticPr fontId="3" type="noConversion"/>
  </si>
  <si>
    <t>Italian lire</t>
    <phoneticPr fontId="3" type="noConversion"/>
  </si>
  <si>
    <t>1893-1910</t>
    <phoneticPr fontId="3" type="noConversion"/>
  </si>
  <si>
    <t>1896-1910</t>
    <phoneticPr fontId="3" type="noConversion"/>
  </si>
  <si>
    <t>1910-13</t>
    <phoneticPr fontId="3" type="noConversion"/>
  </si>
  <si>
    <t>1913-25</t>
    <phoneticPr fontId="3" type="noConversion"/>
  </si>
  <si>
    <t>1910-14</t>
    <phoneticPr fontId="3" type="noConversion"/>
  </si>
  <si>
    <t>1914-16</t>
    <phoneticPr fontId="3" type="noConversion"/>
  </si>
  <si>
    <t>1916-20</t>
    <phoneticPr fontId="3" type="noConversion"/>
  </si>
  <si>
    <t>1920-38</t>
    <phoneticPr fontId="3" type="noConversion"/>
  </si>
  <si>
    <t>The calculation of Brazil's Px.</t>
    <phoneticPr fontId="3" type="noConversion"/>
  </si>
  <si>
    <t>Maize</t>
    <phoneticPr fontId="3" type="noConversion"/>
  </si>
  <si>
    <t>Linseed</t>
    <phoneticPr fontId="3" type="noConversion"/>
  </si>
  <si>
    <t>Flour</t>
    <phoneticPr fontId="3" type="noConversion"/>
  </si>
  <si>
    <t>Fat and tallow</t>
    <phoneticPr fontId="3" type="noConversion"/>
  </si>
  <si>
    <t>1851-1881</t>
    <phoneticPr fontId="3" type="noConversion"/>
  </si>
  <si>
    <t>1881-1910</t>
    <phoneticPr fontId="3" type="noConversion"/>
  </si>
  <si>
    <t>Cueros vacunos salados</t>
    <phoneticPr fontId="3" type="noConversion"/>
  </si>
  <si>
    <t>Maize</t>
    <phoneticPr fontId="3" type="noConversion"/>
  </si>
  <si>
    <t>Hides</t>
    <phoneticPr fontId="3" type="noConversion"/>
  </si>
  <si>
    <t>Value</t>
    <phoneticPr fontId="3" type="noConversion"/>
  </si>
  <si>
    <t>Low</t>
    <phoneticPr fontId="3" type="noConversion"/>
  </si>
  <si>
    <t>Wool, clean</t>
    <phoneticPr fontId="3" type="noConversion"/>
  </si>
  <si>
    <t>Steer, for export</t>
    <phoneticPr fontId="3" type="noConversion"/>
  </si>
  <si>
    <t>Maize</t>
    <phoneticPr fontId="3" type="noConversion"/>
  </si>
  <si>
    <t>o$s per ton</t>
    <phoneticPr fontId="3" type="noConversion"/>
  </si>
  <si>
    <t>Lana lavada</t>
    <phoneticPr fontId="3" type="noConversion"/>
  </si>
  <si>
    <t>Lana limpia</t>
    <phoneticPr fontId="3" type="noConversion"/>
  </si>
  <si>
    <t>Sum</t>
    <phoneticPr fontId="3" type="noConversion"/>
  </si>
  <si>
    <t>Cueros lanares pelados, salados y sin salar</t>
    <phoneticPr fontId="3" type="noConversion"/>
  </si>
  <si>
    <t>Frozen beef</t>
    <phoneticPr fontId="3" type="noConversion"/>
  </si>
  <si>
    <t>Chilled beef</t>
    <phoneticPr fontId="3" type="noConversion"/>
  </si>
  <si>
    <t>Frozen mutton and lamb</t>
    <phoneticPr fontId="3" type="noConversion"/>
  </si>
  <si>
    <t>Canned meat</t>
    <phoneticPr fontId="3" type="noConversion"/>
  </si>
  <si>
    <t>1833+</t>
    <phoneticPr fontId="3" type="noConversion"/>
  </si>
  <si>
    <t>Frozen meal offal</t>
    <phoneticPr fontId="3" type="noConversion"/>
  </si>
  <si>
    <t>Meat extract</t>
    <phoneticPr fontId="3" type="noConversion"/>
  </si>
  <si>
    <t>Sheep skins</t>
    <phoneticPr fontId="3" type="noConversion"/>
  </si>
  <si>
    <t>1822+</t>
    <phoneticPr fontId="3" type="noConversion"/>
  </si>
  <si>
    <t>Dried hides</t>
    <phoneticPr fontId="3" type="noConversion"/>
  </si>
  <si>
    <t>£ per ton</t>
    <phoneticPr fontId="3" type="noConversion"/>
  </si>
  <si>
    <t>Tallow</t>
    <phoneticPr fontId="3" type="noConversion"/>
  </si>
  <si>
    <t>o$s</t>
    <phoneticPr fontId="3" type="noConversion"/>
  </si>
  <si>
    <t>Carne bovina enfriada</t>
    <phoneticPr fontId="3" type="noConversion"/>
  </si>
  <si>
    <t>Carne bovina congelada</t>
    <phoneticPr fontId="3" type="noConversion"/>
  </si>
  <si>
    <t>Carne ovina congelada y enfriada</t>
    <phoneticPr fontId="3" type="noConversion"/>
  </si>
  <si>
    <t>Maize</t>
    <phoneticPr fontId="3" type="noConversion"/>
  </si>
  <si>
    <t>Feb</t>
    <phoneticPr fontId="3" type="noConversion"/>
  </si>
  <si>
    <t>1829+</t>
    <phoneticPr fontId="3" type="noConversion"/>
  </si>
  <si>
    <t>Dirty wool</t>
    <phoneticPr fontId="3" type="noConversion"/>
  </si>
  <si>
    <t>Pesos per 35lb</t>
  </si>
  <si>
    <t>Exports</t>
    <phoneticPr fontId="3" type="noConversion"/>
  </si>
  <si>
    <t>Imports</t>
    <phoneticPr fontId="3" type="noConversion"/>
  </si>
  <si>
    <t>Terms of trade</t>
    <phoneticPr fontId="3" type="noConversion"/>
  </si>
  <si>
    <t>ToTs</t>
    <phoneticPr fontId="3" type="noConversion"/>
  </si>
  <si>
    <t>Px wts</t>
    <phoneticPr fontId="3" type="noConversion"/>
  </si>
  <si>
    <t>Px prices</t>
    <phoneticPr fontId="3" type="noConversion"/>
  </si>
  <si>
    <t>Hide prices</t>
    <phoneticPr fontId="3" type="noConversion"/>
  </si>
  <si>
    <t>XE</t>
    <phoneticPr fontId="3" type="noConversion"/>
  </si>
  <si>
    <t>Pm</t>
    <phoneticPr fontId="3" type="noConversion"/>
  </si>
  <si>
    <t>Pm wts</t>
    <phoneticPr fontId="3" type="noConversion"/>
  </si>
  <si>
    <t>Pm indices</t>
    <phoneticPr fontId="3" type="noConversion"/>
  </si>
  <si>
    <t>Brazil Px</t>
    <phoneticPr fontId="3" type="noConversion"/>
  </si>
  <si>
    <t>Moutoukias</t>
    <phoneticPr fontId="3" type="noConversion"/>
  </si>
  <si>
    <t>Anon. 1</t>
    <phoneticPr fontId="3" type="noConversion"/>
  </si>
  <si>
    <t>Anon. 2</t>
    <phoneticPr fontId="3" type="noConversion"/>
  </si>
  <si>
    <t>Broide</t>
    <phoneticPr fontId="3" type="noConversion"/>
  </si>
  <si>
    <t>Alvarez</t>
    <phoneticPr fontId="3" type="noConversion"/>
  </si>
  <si>
    <t>Cortes Conde et al</t>
    <phoneticPr fontId="3" type="noConversion"/>
  </si>
  <si>
    <t>V-P</t>
    <phoneticPr fontId="3" type="noConversion"/>
  </si>
  <si>
    <t>Paper pesos per £</t>
    <phoneticPr fontId="3" type="noConversion"/>
  </si>
  <si>
    <t>Gold pesos per £</t>
    <phoneticPr fontId="3" type="noConversion"/>
  </si>
  <si>
    <t>Export values</t>
    <phoneticPr fontId="3" type="noConversion"/>
  </si>
  <si>
    <t>Export weights</t>
    <phoneticPr fontId="3" type="noConversion"/>
  </si>
  <si>
    <t>Pm indices</t>
    <phoneticPr fontId="3" type="noConversion"/>
  </si>
  <si>
    <t>£ per 1,000</t>
  </si>
  <si>
    <t>per £</t>
  </si>
  <si>
    <t>UK</t>
  </si>
  <si>
    <r>
      <t xml:space="preserve">Processed series </t>
    </r>
    <r>
      <rPr>
        <sz val="12"/>
        <rFont val="Arial"/>
      </rPr>
      <t>(£ per ton)</t>
    </r>
    <phoneticPr fontId="3" type="noConversion"/>
  </si>
  <si>
    <t>Best quality to North America</t>
    <phoneticPr fontId="3" type="noConversion"/>
  </si>
  <si>
    <t>Best quality to Spain</t>
    <phoneticPr fontId="3" type="noConversion"/>
  </si>
  <si>
    <t>(original)</t>
    <phoneticPr fontId="3" type="noConversion"/>
  </si>
  <si>
    <t>(corrected)</t>
    <phoneticPr fontId="3" type="noConversion"/>
  </si>
  <si>
    <t>Hides, dried</t>
    <phoneticPr fontId="3" type="noConversion"/>
  </si>
  <si>
    <t>Export values</t>
    <phoneticPr fontId="3" type="noConversion"/>
  </si>
  <si>
    <t>1796-1837</t>
    <phoneticPr fontId="3" type="noConversion"/>
  </si>
  <si>
    <t>1822-1851</t>
    <phoneticPr fontId="3" type="noConversion"/>
  </si>
  <si>
    <t>1837-66</t>
    <phoneticPr fontId="3" type="noConversion"/>
  </si>
  <si>
    <t>1866-1896</t>
    <phoneticPr fontId="3" type="noConversion"/>
  </si>
</sst>
</file>

<file path=xl/styles.xml><?xml version="1.0" encoding="utf-8"?>
<styleSheet xmlns="http://schemas.openxmlformats.org/spreadsheetml/2006/main">
  <numFmts count="1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_)"/>
    <numFmt numFmtId="169" formatCode="0.00_)"/>
    <numFmt numFmtId="170" formatCode="0.000000"/>
    <numFmt numFmtId="171" formatCode="0.0000"/>
    <numFmt numFmtId="172" formatCode="0.0"/>
    <numFmt numFmtId="173" formatCode="0.0000000"/>
    <numFmt numFmtId="174" formatCode="0.000"/>
  </numFmts>
  <fonts count="17">
    <font>
      <sz val="10"/>
      <name val="Verdana"/>
    </font>
    <font>
      <sz val="10"/>
      <name val="Verdana"/>
    </font>
    <font>
      <sz val="10"/>
      <name val="Verdana"/>
    </font>
    <font>
      <sz val="8"/>
      <name val="Verdana"/>
    </font>
    <font>
      <sz val="12"/>
      <name val="Arial"/>
    </font>
    <font>
      <b/>
      <sz val="12"/>
      <name val="Arial"/>
    </font>
    <font>
      <sz val="10"/>
      <name val="Courier"/>
    </font>
    <font>
      <sz val="11"/>
      <name val="Arial"/>
      <family val="2"/>
    </font>
    <font>
      <sz val="12"/>
      <color indexed="63"/>
      <name val="Arial"/>
    </font>
    <font>
      <sz val="14"/>
      <name val="Verdana"/>
    </font>
    <font>
      <u/>
      <sz val="10"/>
      <color indexed="12"/>
      <name val="Verdana"/>
    </font>
    <font>
      <u/>
      <sz val="10"/>
      <color indexed="20"/>
      <name val="Verdana"/>
    </font>
    <font>
      <i/>
      <sz val="12"/>
      <name val="Arial"/>
    </font>
    <font>
      <sz val="12"/>
      <color indexed="8"/>
      <name val="Arial"/>
    </font>
    <font>
      <sz val="10"/>
      <name val="Arial"/>
    </font>
    <font>
      <u/>
      <sz val="10"/>
      <color indexed="36"/>
      <name val="Arial"/>
    </font>
    <font>
      <u/>
      <sz val="10"/>
      <color indexed="12"/>
      <name val="Arial"/>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
    <border>
      <left/>
      <right/>
      <top/>
      <bottom/>
      <diagonal/>
    </border>
  </borders>
  <cellStyleXfs count="19">
    <xf numFmtId="0" fontId="0" fillId="0" borderId="0"/>
    <xf numFmtId="0" fontId="6"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4" fillId="0" borderId="0" applyNumberFormat="0" applyFill="0" applyBorder="0" applyAlignment="0" applyProtection="0"/>
  </cellStyleXfs>
  <cellXfs count="112">
    <xf numFmtId="0" fontId="0" fillId="0" borderId="0" xfId="0"/>
    <xf numFmtId="0" fontId="4" fillId="0" borderId="0" xfId="0" applyNumberFormat="1" applyFont="1" applyAlignment="1">
      <alignment horizontal="center" wrapText="1"/>
    </xf>
    <xf numFmtId="0" fontId="4" fillId="0" borderId="0" xfId="0" applyNumberFormat="1" applyFont="1" applyAlignment="1">
      <alignment wrapText="1"/>
    </xf>
    <xf numFmtId="0" fontId="4" fillId="0" borderId="0" xfId="0" applyFont="1" applyAlignment="1"/>
    <xf numFmtId="0" fontId="4" fillId="0" borderId="0" xfId="0" applyFont="1"/>
    <xf numFmtId="0" fontId="4" fillId="0" borderId="0" xfId="0" applyFont="1" applyAlignment="1">
      <alignment horizontal="center"/>
    </xf>
    <xf numFmtId="0" fontId="5" fillId="0" borderId="0" xfId="0" applyFont="1" applyAlignment="1">
      <alignment horizontal="center"/>
    </xf>
    <xf numFmtId="168" fontId="4" fillId="0" borderId="0" xfId="0" applyNumberFormat="1" applyFont="1" applyProtection="1"/>
    <xf numFmtId="2" fontId="4" fillId="0" borderId="0" xfId="0" applyNumberFormat="1" applyFont="1" applyAlignment="1" applyProtection="1"/>
    <xf numFmtId="2" fontId="4" fillId="0" borderId="0" xfId="0" applyNumberFormat="1" applyFont="1" applyAlignment="1"/>
    <xf numFmtId="169" fontId="4" fillId="0" borderId="0" xfId="0" applyNumberFormat="1" applyFont="1" applyProtection="1"/>
    <xf numFmtId="2" fontId="4" fillId="0" borderId="0" xfId="0" applyNumberFormat="1" applyFont="1" applyProtection="1"/>
    <xf numFmtId="169" fontId="4" fillId="0" borderId="0" xfId="0" applyNumberFormat="1" applyFont="1"/>
    <xf numFmtId="0" fontId="4" fillId="0" borderId="0" xfId="0" applyNumberFormat="1" applyFont="1" applyAlignment="1">
      <alignment horizontal="left" wrapText="1"/>
    </xf>
    <xf numFmtId="0" fontId="4" fillId="0" borderId="0" xfId="0" applyFont="1" applyAlignment="1">
      <alignment horizontal="left"/>
    </xf>
    <xf numFmtId="2" fontId="4" fillId="0" borderId="0" xfId="0" applyNumberFormat="1" applyFont="1"/>
    <xf numFmtId="0" fontId="4" fillId="0" borderId="0" xfId="0" applyFont="1" applyAlignment="1">
      <alignment wrapText="1"/>
    </xf>
    <xf numFmtId="0" fontId="4" fillId="0" borderId="0" xfId="0" applyFont="1" applyAlignment="1">
      <alignment horizontal="center" wrapText="1"/>
    </xf>
    <xf numFmtId="2" fontId="4" fillId="0" borderId="0" xfId="0" applyNumberFormat="1" applyFont="1"/>
    <xf numFmtId="2" fontId="4" fillId="2" borderId="0" xfId="0" applyNumberFormat="1" applyFont="1" applyFill="1"/>
    <xf numFmtId="1" fontId="4" fillId="0" borderId="0" xfId="0" applyNumberFormat="1" applyFont="1"/>
    <xf numFmtId="3" fontId="4" fillId="0" borderId="0" xfId="0" applyNumberFormat="1" applyFont="1"/>
    <xf numFmtId="4" fontId="4" fillId="0" borderId="0" xfId="0" applyNumberFormat="1" applyFont="1"/>
    <xf numFmtId="3" fontId="4" fillId="0" borderId="0" xfId="0" applyNumberFormat="1" applyFont="1"/>
    <xf numFmtId="3" fontId="4" fillId="0" borderId="0" xfId="0" applyNumberFormat="1" applyFont="1"/>
    <xf numFmtId="170" fontId="4" fillId="0" borderId="0" xfId="0" applyNumberFormat="1" applyFont="1"/>
    <xf numFmtId="2" fontId="4" fillId="0" borderId="0" xfId="0" applyNumberFormat="1" applyFont="1"/>
    <xf numFmtId="1" fontId="4" fillId="0" borderId="0" xfId="0" applyNumberFormat="1" applyFont="1"/>
    <xf numFmtId="1" fontId="4" fillId="0" borderId="0" xfId="0" applyNumberFormat="1" applyFont="1"/>
    <xf numFmtId="3" fontId="4" fillId="0" borderId="0" xfId="0" applyNumberFormat="1" applyFont="1"/>
    <xf numFmtId="1" fontId="4" fillId="3" borderId="0" xfId="0" applyNumberFormat="1" applyFont="1" applyFill="1"/>
    <xf numFmtId="3" fontId="4" fillId="0" borderId="0" xfId="0" applyNumberFormat="1" applyFont="1"/>
    <xf numFmtId="172" fontId="4" fillId="0" borderId="0" xfId="0" applyNumberFormat="1" applyFont="1"/>
    <xf numFmtId="0" fontId="5" fillId="0" borderId="0" xfId="0" applyFont="1"/>
    <xf numFmtId="0" fontId="4" fillId="0" borderId="0" xfId="0" applyFont="1" applyAlignment="1">
      <alignment horizontal="right"/>
    </xf>
    <xf numFmtId="1" fontId="4" fillId="0" borderId="0" xfId="0" applyNumberFormat="1" applyFont="1"/>
    <xf numFmtId="2" fontId="4" fillId="0" borderId="0" xfId="0" applyNumberFormat="1" applyFont="1"/>
    <xf numFmtId="1" fontId="4" fillId="0" borderId="0" xfId="0" applyNumberFormat="1" applyFont="1"/>
    <xf numFmtId="2" fontId="4" fillId="0" borderId="0" xfId="0" applyNumberFormat="1" applyFont="1"/>
    <xf numFmtId="0" fontId="0" fillId="0" borderId="0" xfId="0" applyAlignment="1">
      <alignment wrapText="1"/>
    </xf>
    <xf numFmtId="4" fontId="7" fillId="0" borderId="0" xfId="0" applyNumberFormat="1" applyFont="1"/>
    <xf numFmtId="4" fontId="4" fillId="0" borderId="0" xfId="0" applyNumberFormat="1" applyFont="1"/>
    <xf numFmtId="4" fontId="4" fillId="0" borderId="0" xfId="0" applyNumberFormat="1" applyFont="1" applyFill="1"/>
    <xf numFmtId="4" fontId="4" fillId="0" borderId="0" xfId="1" applyNumberFormat="1" applyFont="1" applyAlignment="1">
      <alignment horizontal="right"/>
    </xf>
    <xf numFmtId="4" fontId="4" fillId="0" borderId="0" xfId="0" applyNumberFormat="1" applyFont="1" applyAlignment="1">
      <alignment horizontal="right"/>
    </xf>
    <xf numFmtId="3" fontId="4" fillId="0" borderId="0" xfId="0" applyNumberFormat="1" applyFont="1"/>
    <xf numFmtId="2" fontId="4" fillId="0" borderId="0" xfId="0" applyNumberFormat="1" applyFont="1"/>
    <xf numFmtId="0" fontId="4" fillId="2" borderId="0" xfId="0" applyFont="1" applyFill="1" applyAlignment="1">
      <alignment wrapText="1"/>
    </xf>
    <xf numFmtId="4" fontId="4" fillId="2" borderId="0" xfId="0" applyNumberFormat="1" applyFont="1" applyFill="1"/>
    <xf numFmtId="2" fontId="4" fillId="2" borderId="0" xfId="0" applyNumberFormat="1" applyFont="1" applyFill="1" applyAlignment="1">
      <alignment wrapText="1"/>
    </xf>
    <xf numFmtId="171" fontId="4" fillId="0" borderId="0" xfId="0" applyNumberFormat="1" applyFont="1"/>
    <xf numFmtId="172" fontId="4" fillId="0" borderId="0" xfId="0" applyNumberFormat="1" applyFont="1"/>
    <xf numFmtId="1" fontId="4" fillId="0" borderId="0" xfId="0" applyNumberFormat="1" applyFont="1"/>
    <xf numFmtId="1" fontId="4" fillId="0" borderId="0" xfId="0" applyNumberFormat="1" applyFont="1"/>
    <xf numFmtId="2" fontId="4" fillId="0" borderId="0" xfId="0" applyNumberFormat="1" applyFont="1"/>
    <xf numFmtId="1" fontId="4" fillId="2" borderId="0" xfId="0" applyNumberFormat="1" applyFont="1" applyFill="1"/>
    <xf numFmtId="1" fontId="4" fillId="0" borderId="0" xfId="0" applyNumberFormat="1" applyFont="1"/>
    <xf numFmtId="1" fontId="8" fillId="3" borderId="0" xfId="1" applyNumberFormat="1" applyFont="1" applyFill="1"/>
    <xf numFmtId="172" fontId="0" fillId="0" borderId="0" xfId="0" applyNumberFormat="1"/>
    <xf numFmtId="0" fontId="4" fillId="0" borderId="0" xfId="0" applyFont="1" applyBorder="1"/>
    <xf numFmtId="0" fontId="4" fillId="0" borderId="0" xfId="0" applyFont="1" applyFill="1" applyAlignment="1">
      <alignment horizontal="center"/>
    </xf>
    <xf numFmtId="0" fontId="5" fillId="0" borderId="0" xfId="0" applyFont="1" applyAlignment="1">
      <alignment horizontal="right"/>
    </xf>
    <xf numFmtId="0" fontId="5" fillId="0" borderId="0" xfId="0" applyFont="1" applyFill="1" applyAlignment="1">
      <alignment horizontal="right"/>
    </xf>
    <xf numFmtId="0" fontId="4" fillId="0" borderId="0" xfId="0" applyFont="1" applyFill="1" applyAlignment="1">
      <alignment horizontal="right"/>
    </xf>
    <xf numFmtId="4" fontId="4" fillId="0" borderId="0" xfId="2" applyNumberFormat="1" applyFont="1" applyAlignment="1">
      <alignment horizontal="right"/>
    </xf>
    <xf numFmtId="172" fontId="4" fillId="0" borderId="0" xfId="0" applyNumberFormat="1" applyFont="1" applyBorder="1"/>
    <xf numFmtId="3" fontId="4" fillId="0" borderId="0" xfId="0" applyNumberFormat="1" applyFont="1"/>
    <xf numFmtId="3" fontId="4" fillId="0" borderId="0" xfId="0" applyNumberFormat="1" applyFont="1" applyFill="1"/>
    <xf numFmtId="1" fontId="0" fillId="0" borderId="0" xfId="0" applyNumberFormat="1"/>
    <xf numFmtId="1" fontId="4" fillId="0" borderId="0" xfId="0" applyNumberFormat="1" applyFont="1" applyFill="1"/>
    <xf numFmtId="1" fontId="4" fillId="0" borderId="0" xfId="0" applyNumberFormat="1" applyFont="1" applyAlignment="1">
      <alignment horizontal="center"/>
    </xf>
    <xf numFmtId="0" fontId="13" fillId="0" borderId="0" xfId="0" applyFont="1" applyAlignment="1">
      <alignment wrapText="1"/>
    </xf>
    <xf numFmtId="172" fontId="13" fillId="0" borderId="0" xfId="0" applyNumberFormat="1" applyFont="1"/>
    <xf numFmtId="2" fontId="13" fillId="0" borderId="0" xfId="0" applyNumberFormat="1" applyFont="1"/>
    <xf numFmtId="1" fontId="4" fillId="0" borderId="0" xfId="0" applyNumberFormat="1" applyFont="1" applyFill="1"/>
    <xf numFmtId="1" fontId="4" fillId="0" borderId="0" xfId="0" applyNumberFormat="1" applyFont="1"/>
    <xf numFmtId="2" fontId="4" fillId="0" borderId="0" xfId="0" applyNumberFormat="1" applyFont="1"/>
    <xf numFmtId="3" fontId="4" fillId="0" borderId="0" xfId="0" applyNumberFormat="1" applyFont="1"/>
    <xf numFmtId="171" fontId="4" fillId="0" borderId="0" xfId="0" applyNumberFormat="1" applyFont="1" applyFill="1"/>
    <xf numFmtId="0" fontId="4" fillId="0" borderId="0" xfId="0" applyFont="1" applyAlignment="1">
      <alignment horizontal="left" wrapText="1"/>
    </xf>
    <xf numFmtId="0" fontId="5" fillId="0" borderId="0" xfId="0" applyFont="1" applyAlignment="1">
      <alignment horizontal="left"/>
    </xf>
    <xf numFmtId="0" fontId="4" fillId="0" borderId="0" xfId="0" applyFont="1" applyBorder="1" applyAlignment="1">
      <alignment horizontal="left"/>
    </xf>
    <xf numFmtId="0" fontId="0" fillId="0" borderId="0" xfId="0" applyAlignment="1">
      <alignment horizontal="left"/>
    </xf>
    <xf numFmtId="172" fontId="4" fillId="3" borderId="0" xfId="0" applyNumberFormat="1" applyFont="1" applyFill="1"/>
    <xf numFmtId="172" fontId="8" fillId="3" borderId="0" xfId="1" applyNumberFormat="1" applyFont="1" applyFill="1"/>
    <xf numFmtId="2" fontId="4" fillId="0" borderId="0" xfId="0" applyNumberFormat="1" applyFont="1"/>
    <xf numFmtId="1" fontId="4" fillId="0" borderId="0" xfId="0" applyNumberFormat="1" applyFont="1"/>
    <xf numFmtId="2" fontId="4" fillId="0" borderId="0" xfId="0" applyNumberFormat="1" applyFont="1"/>
    <xf numFmtId="172" fontId="4" fillId="0" borderId="0" xfId="0" applyNumberFormat="1" applyFont="1"/>
    <xf numFmtId="2" fontId="4" fillId="3" borderId="0" xfId="0" applyNumberFormat="1" applyFont="1" applyFill="1"/>
    <xf numFmtId="1" fontId="0" fillId="0" borderId="0" xfId="0" applyNumberFormat="1" applyFill="1"/>
    <xf numFmtId="172" fontId="4" fillId="0" borderId="0" xfId="0" applyNumberFormat="1" applyFont="1"/>
    <xf numFmtId="172" fontId="4" fillId="3" borderId="0" xfId="0" applyNumberFormat="1" applyFont="1" applyFill="1"/>
    <xf numFmtId="0" fontId="4" fillId="0" borderId="0" xfId="0" applyFont="1" applyFill="1" applyBorder="1"/>
    <xf numFmtId="0" fontId="13" fillId="0" borderId="0" xfId="0" applyFont="1" applyFill="1" applyBorder="1" applyAlignment="1">
      <alignment wrapText="1"/>
    </xf>
    <xf numFmtId="172" fontId="4" fillId="0" borderId="0" xfId="0" applyNumberFormat="1" applyFont="1" applyFill="1"/>
    <xf numFmtId="174" fontId="4" fillId="0" borderId="0" xfId="0" applyNumberFormat="1" applyFont="1"/>
    <xf numFmtId="3" fontId="13" fillId="0" borderId="0" xfId="0" applyNumberFormat="1" applyFont="1" applyFill="1" applyBorder="1" applyAlignment="1">
      <alignment horizontal="right" wrapText="1"/>
    </xf>
    <xf numFmtId="3" fontId="13" fillId="0" borderId="0" xfId="0" applyNumberFormat="1" applyFont="1" applyFill="1" applyBorder="1" applyAlignment="1">
      <alignment wrapText="1"/>
    </xf>
    <xf numFmtId="3" fontId="13" fillId="0" borderId="0" xfId="0" applyNumberFormat="1" applyFont="1" applyFill="1" applyBorder="1" applyAlignment="1">
      <alignment horizontal="right" wrapText="1"/>
    </xf>
    <xf numFmtId="3" fontId="13" fillId="0" borderId="0" xfId="0" applyNumberFormat="1" applyFont="1" applyFill="1" applyBorder="1" applyAlignment="1">
      <alignment wrapText="1"/>
    </xf>
    <xf numFmtId="3" fontId="4" fillId="0" borderId="0" xfId="0" applyNumberFormat="1" applyFont="1"/>
    <xf numFmtId="173" fontId="4" fillId="0" borderId="0" xfId="0" applyNumberFormat="1" applyFont="1"/>
    <xf numFmtId="0" fontId="4" fillId="3" borderId="0" xfId="0" applyFont="1" applyFill="1"/>
    <xf numFmtId="2" fontId="4" fillId="0" borderId="0" xfId="0" applyNumberFormat="1" applyFont="1" applyFill="1"/>
    <xf numFmtId="4" fontId="4" fillId="3" borderId="0" xfId="1" applyNumberFormat="1" applyFont="1" applyFill="1"/>
    <xf numFmtId="1" fontId="4" fillId="0" borderId="0" xfId="0" applyNumberFormat="1" applyFont="1"/>
    <xf numFmtId="2" fontId="4" fillId="2" borderId="0" xfId="0" applyNumberFormat="1" applyFont="1" applyFill="1" applyAlignment="1">
      <alignment wrapText="1"/>
    </xf>
    <xf numFmtId="0" fontId="4" fillId="2" borderId="0" xfId="0" applyFont="1" applyFill="1"/>
    <xf numFmtId="172" fontId="4" fillId="0" borderId="0" xfId="0" applyNumberFormat="1" applyFont="1"/>
    <xf numFmtId="3" fontId="4" fillId="2" borderId="0" xfId="0" applyNumberFormat="1" applyFont="1" applyFill="1"/>
    <xf numFmtId="49" fontId="4" fillId="0" borderId="0" xfId="0" applyNumberFormat="1" applyFont="1"/>
  </cellXfs>
  <cellStyles count="19">
    <cellStyle name="=C:\WINNT\SYSTEM32\COMMAND.COM" xfId="3"/>
    <cellStyle name="ANCLAS,REZONES Y SUS PARTES,DE FUNDICION,DE HIERRO O DE ACERO" xfId="1"/>
    <cellStyle name="ANCLAS,REZONES Y SUS PARTES,DE FUNDICION,DE HIERRO O DE ACERO_Sheet4" xfId="2"/>
    <cellStyle name="ANCLAS,REZONES Y SUS PARTES,DE FUNDICION,DE HIERRO O DE ACERO_Sheet4_Px weights" xfId="10"/>
    <cellStyle name="Comma [0]_Pm indices" xfId="12"/>
    <cellStyle name="Comma [0]_Px weights" xfId="8"/>
    <cellStyle name="Comma_Pm indices" xfId="11"/>
    <cellStyle name="Comma_Px weights" xfId="9"/>
    <cellStyle name="Currency [0]_Pm indices" xfId="14"/>
    <cellStyle name="Currency [0]_Px weights" xfId="6"/>
    <cellStyle name="Currency_Pm indices" xfId="13"/>
    <cellStyle name="Currency_Px weights" xfId="7"/>
    <cellStyle name="Followed Hyperlink" xfId="5" builtinId="9" hidden="1"/>
    <cellStyle name="Followed Hyperlink_Pm indices" xfId="15"/>
    <cellStyle name="Hyperlink" xfId="4" builtinId="8" hidden="1"/>
    <cellStyle name="Hyperlink_Pm indices" xfId="16"/>
    <cellStyle name="Normal" xfId="0" builtinId="0"/>
    <cellStyle name="Normal_Pm indices" xfId="17"/>
    <cellStyle name="Percent_Pm indices" xfId="18"/>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705B41"/>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70</xdr:col>
      <xdr:colOff>0</xdr:colOff>
      <xdr:row>99</xdr:row>
      <xdr:rowOff>12700</xdr:rowOff>
    </xdr:from>
    <xdr:to>
      <xdr:col>70</xdr:col>
      <xdr:colOff>114300</xdr:colOff>
      <xdr:row>100</xdr:row>
      <xdr:rowOff>76200</xdr:rowOff>
    </xdr:to>
    <xdr:pic>
      <xdr:nvPicPr>
        <xdr:cNvPr id="6" name="Picture 1" descr="Ascending)"/>
        <xdr:cNvPicPr>
          <a:picLocks noChangeAspect="1" noChangeArrowheads="1"/>
        </xdr:cNvPicPr>
      </xdr:nvPicPr>
      <xdr:blipFill>
        <a:blip xmlns:r="http://schemas.openxmlformats.org/officeDocument/2006/relationships" r:embed="rId1"/>
        <a:srcRect/>
        <a:stretch>
          <a:fillRect/>
        </a:stretch>
      </xdr:blipFill>
      <xdr:spPr bwMode="auto">
        <a:xfrm>
          <a:off x="84886800" y="17907000"/>
          <a:ext cx="114300" cy="2667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61"/>
  <sheetViews>
    <sheetView tabSelected="1" workbookViewId="0">
      <selection activeCell="B4" sqref="B4"/>
    </sheetView>
  </sheetViews>
  <sheetFormatPr baseColWidth="10" defaultRowHeight="13"/>
  <sheetData>
    <row r="1" spans="1:6" ht="15">
      <c r="A1" s="33" t="s">
        <v>5</v>
      </c>
      <c r="B1" s="4" t="s">
        <v>6</v>
      </c>
    </row>
    <row r="2" spans="1:6" ht="15">
      <c r="A2" s="33" t="s">
        <v>7</v>
      </c>
      <c r="B2" s="111" t="s">
        <v>8</v>
      </c>
    </row>
    <row r="3" spans="1:6" ht="15">
      <c r="A3" s="33" t="s">
        <v>9</v>
      </c>
      <c r="B3" s="111" t="s">
        <v>10</v>
      </c>
    </row>
    <row r="5" spans="1:6" ht="15">
      <c r="A5" s="4" t="s">
        <v>11</v>
      </c>
      <c r="B5" s="4"/>
      <c r="C5" s="4"/>
      <c r="D5" s="4"/>
      <c r="E5" s="4"/>
      <c r="F5" s="4"/>
    </row>
    <row r="6" spans="1:6" ht="15">
      <c r="A6" s="4" t="s">
        <v>0</v>
      </c>
      <c r="B6" s="4"/>
      <c r="C6" s="4"/>
      <c r="D6" s="4"/>
      <c r="E6" s="4"/>
      <c r="F6" s="4"/>
    </row>
    <row r="7" spans="1:6" ht="15">
      <c r="A7" s="4"/>
      <c r="B7" s="4"/>
      <c r="C7" s="4"/>
      <c r="D7" s="4"/>
      <c r="E7" s="4"/>
      <c r="F7" s="4"/>
    </row>
    <row r="8" spans="1:6" ht="15">
      <c r="A8" s="33" t="s">
        <v>2</v>
      </c>
      <c r="B8" s="4"/>
      <c r="C8" s="4"/>
      <c r="D8" s="4"/>
      <c r="E8" s="4"/>
      <c r="F8" s="4"/>
    </row>
    <row r="9" spans="1:6" ht="15">
      <c r="A9" s="108" t="s">
        <v>3</v>
      </c>
      <c r="B9" s="108"/>
      <c r="C9" s="108"/>
      <c r="D9" s="4"/>
      <c r="E9" s="4"/>
      <c r="F9" s="4"/>
    </row>
    <row r="10" spans="1:6" ht="15">
      <c r="A10" s="103" t="s">
        <v>4</v>
      </c>
      <c r="B10" s="103"/>
      <c r="C10" s="103"/>
      <c r="D10" s="4"/>
      <c r="E10" s="4"/>
      <c r="F10" s="4"/>
    </row>
    <row r="11" spans="1:6" ht="15">
      <c r="A11" s="4"/>
      <c r="B11" s="4"/>
      <c r="C11" s="4"/>
      <c r="D11" s="4"/>
      <c r="E11" s="4"/>
      <c r="F11" s="4"/>
    </row>
    <row r="12" spans="1:6" ht="15">
      <c r="A12" s="33" t="s">
        <v>75</v>
      </c>
      <c r="B12" s="4"/>
      <c r="C12" s="4"/>
      <c r="D12" s="4"/>
      <c r="E12" s="4"/>
      <c r="F12" s="4"/>
    </row>
    <row r="13" spans="1:6" ht="15">
      <c r="A13" s="4" t="s">
        <v>371</v>
      </c>
      <c r="B13" s="4" t="s">
        <v>212</v>
      </c>
      <c r="C13" s="4"/>
      <c r="D13" s="4"/>
      <c r="E13" s="4"/>
      <c r="F13" s="4"/>
    </row>
    <row r="14" spans="1:6" ht="15">
      <c r="A14" s="4" t="s">
        <v>158</v>
      </c>
      <c r="B14" s="4" t="s">
        <v>299</v>
      </c>
      <c r="C14" s="4"/>
      <c r="D14" s="4"/>
      <c r="E14" s="4"/>
      <c r="F14" s="4"/>
    </row>
    <row r="15" spans="1:6" ht="15">
      <c r="A15" s="4" t="s">
        <v>372</v>
      </c>
      <c r="B15" s="4" t="s">
        <v>298</v>
      </c>
      <c r="C15" s="4"/>
      <c r="D15" s="4"/>
      <c r="E15" s="4"/>
      <c r="F15" s="4"/>
    </row>
    <row r="16" spans="1:6" ht="15">
      <c r="A16" s="4" t="s">
        <v>373</v>
      </c>
      <c r="B16" s="4" t="s">
        <v>301</v>
      </c>
      <c r="C16" s="4"/>
      <c r="D16" s="4"/>
      <c r="E16" s="4"/>
      <c r="F16" s="4"/>
    </row>
    <row r="17" spans="1:6" ht="15">
      <c r="A17" s="4" t="s">
        <v>374</v>
      </c>
      <c r="B17" s="4" t="s">
        <v>300</v>
      </c>
      <c r="C17" s="4"/>
      <c r="D17" s="4"/>
      <c r="E17" s="4"/>
      <c r="F17" s="4"/>
    </row>
    <row r="18" spans="1:6" ht="15">
      <c r="A18" s="4" t="s">
        <v>375</v>
      </c>
      <c r="B18" s="4" t="s">
        <v>302</v>
      </c>
      <c r="C18" s="4"/>
      <c r="D18" s="4"/>
      <c r="E18" s="4"/>
      <c r="F18" s="4"/>
    </row>
    <row r="19" spans="1:6" ht="15">
      <c r="A19" s="4" t="s">
        <v>376</v>
      </c>
      <c r="B19" s="4" t="s">
        <v>303</v>
      </c>
      <c r="C19" s="4"/>
      <c r="D19" s="4"/>
      <c r="E19" s="4"/>
      <c r="F19" s="4"/>
    </row>
    <row r="20" spans="1:6" ht="15">
      <c r="A20" s="4" t="s">
        <v>377</v>
      </c>
      <c r="B20" s="4" t="s">
        <v>304</v>
      </c>
      <c r="C20" s="4"/>
      <c r="D20" s="4"/>
      <c r="E20" s="4"/>
      <c r="F20" s="4"/>
    </row>
    <row r="21" spans="1:6" ht="15">
      <c r="A21" s="4" t="s">
        <v>378</v>
      </c>
      <c r="B21" s="4" t="s">
        <v>305</v>
      </c>
      <c r="C21" s="4"/>
      <c r="D21" s="4"/>
      <c r="E21" s="4"/>
      <c r="F21" s="4"/>
    </row>
    <row r="22" spans="1:6" ht="15">
      <c r="A22" s="4" t="s">
        <v>379</v>
      </c>
      <c r="B22" s="4" t="s">
        <v>327</v>
      </c>
      <c r="C22" s="4"/>
      <c r="D22" s="4"/>
      <c r="E22" s="4"/>
      <c r="F22" s="4"/>
    </row>
    <row r="23" spans="1:6" ht="15">
      <c r="A23" s="4" t="s">
        <v>380</v>
      </c>
      <c r="B23" s="4" t="s">
        <v>61</v>
      </c>
      <c r="C23" s="4"/>
      <c r="D23" s="4"/>
      <c r="E23" s="4"/>
      <c r="F23" s="4"/>
    </row>
    <row r="24" spans="1:6" ht="15">
      <c r="A24" s="4" t="s">
        <v>381</v>
      </c>
      <c r="B24" s="4" t="s">
        <v>15</v>
      </c>
      <c r="C24" s="4"/>
      <c r="D24" s="4"/>
      <c r="E24" s="4"/>
      <c r="F24" s="4"/>
    </row>
    <row r="25" spans="1:6" ht="15">
      <c r="A25" s="4" t="s">
        <v>382</v>
      </c>
      <c r="B25" s="4" t="s">
        <v>16</v>
      </c>
      <c r="C25" s="4"/>
      <c r="D25" s="4"/>
      <c r="E25" s="4"/>
      <c r="F25" s="4"/>
    </row>
    <row r="26" spans="1:6" ht="15">
      <c r="A26" s="4" t="s">
        <v>383</v>
      </c>
      <c r="B26" s="4" t="s">
        <v>14</v>
      </c>
      <c r="C26" s="4"/>
      <c r="D26" s="4"/>
      <c r="E26" s="4"/>
      <c r="F26" s="4"/>
    </row>
    <row r="27" spans="1:6" ht="15">
      <c r="A27" s="4" t="s">
        <v>384</v>
      </c>
      <c r="B27" s="4" t="s">
        <v>1</v>
      </c>
      <c r="C27" s="4"/>
      <c r="D27" s="4"/>
      <c r="E27" s="4"/>
      <c r="F27" s="4"/>
    </row>
    <row r="28" spans="1:6" ht="15">
      <c r="A28" s="4" t="s">
        <v>385</v>
      </c>
      <c r="B28" s="4" t="s">
        <v>13</v>
      </c>
      <c r="C28" s="4"/>
      <c r="D28" s="4"/>
      <c r="E28" s="4"/>
      <c r="F28" s="4"/>
    </row>
    <row r="29" spans="1:6" ht="15">
      <c r="A29" s="4" t="s">
        <v>386</v>
      </c>
      <c r="B29" s="4" t="s">
        <v>12</v>
      </c>
      <c r="C29" s="4"/>
      <c r="D29" s="4"/>
      <c r="E29" s="4"/>
      <c r="F29" s="4"/>
    </row>
    <row r="30" spans="1:6" ht="15">
      <c r="A30" s="4"/>
      <c r="B30" s="4"/>
      <c r="C30" s="4"/>
      <c r="D30" s="4"/>
      <c r="E30" s="4"/>
      <c r="F30" s="4"/>
    </row>
    <row r="31" spans="1:6" ht="15">
      <c r="A31" s="4"/>
      <c r="B31" s="4"/>
      <c r="C31" s="4"/>
      <c r="D31" s="4"/>
      <c r="E31" s="4"/>
      <c r="F31" s="4"/>
    </row>
    <row r="32" spans="1:6" ht="15">
      <c r="A32" s="4"/>
      <c r="B32" s="4"/>
      <c r="C32" s="4"/>
      <c r="D32" s="4"/>
      <c r="E32" s="4"/>
      <c r="F32" s="4"/>
    </row>
    <row r="33" spans="1:6" ht="15">
      <c r="A33" s="4"/>
      <c r="B33" s="4"/>
      <c r="C33" s="4"/>
      <c r="D33" s="4"/>
      <c r="E33" s="4"/>
      <c r="F33" s="4"/>
    </row>
    <row r="34" spans="1:6" ht="15">
      <c r="A34" s="4"/>
      <c r="B34" s="4"/>
      <c r="C34" s="4"/>
      <c r="D34" s="4"/>
      <c r="E34" s="4"/>
      <c r="F34" s="4"/>
    </row>
    <row r="35" spans="1:6" ht="15">
      <c r="A35" s="4"/>
      <c r="B35" s="4"/>
      <c r="C35" s="4"/>
      <c r="D35" s="4"/>
      <c r="E35" s="4"/>
      <c r="F35" s="4"/>
    </row>
    <row r="36" spans="1:6" ht="15">
      <c r="A36" s="4"/>
      <c r="B36" s="4"/>
      <c r="C36" s="4"/>
      <c r="D36" s="4"/>
      <c r="E36" s="4"/>
      <c r="F36" s="4"/>
    </row>
    <row r="37" spans="1:6" ht="15">
      <c r="A37" s="4"/>
      <c r="B37" s="4"/>
      <c r="C37" s="4"/>
      <c r="D37" s="4"/>
      <c r="E37" s="4"/>
      <c r="F37" s="4"/>
    </row>
    <row r="38" spans="1:6" ht="15">
      <c r="A38" s="4"/>
      <c r="B38" s="4"/>
      <c r="C38" s="4"/>
      <c r="D38" s="4"/>
      <c r="E38" s="4"/>
      <c r="F38" s="4"/>
    </row>
    <row r="39" spans="1:6" ht="15">
      <c r="A39" s="4"/>
      <c r="B39" s="4"/>
      <c r="C39" s="4"/>
      <c r="D39" s="4"/>
      <c r="E39" s="4"/>
      <c r="F39" s="4"/>
    </row>
    <row r="40" spans="1:6" ht="15">
      <c r="A40" s="4"/>
      <c r="B40" s="4"/>
      <c r="C40" s="4"/>
      <c r="D40" s="4"/>
      <c r="E40" s="4"/>
      <c r="F40" s="4"/>
    </row>
    <row r="41" spans="1:6" ht="15">
      <c r="A41" s="4"/>
      <c r="B41" s="4"/>
      <c r="C41" s="4"/>
      <c r="D41" s="4"/>
      <c r="E41" s="4"/>
      <c r="F41" s="4"/>
    </row>
    <row r="42" spans="1:6" ht="15">
      <c r="A42" s="4"/>
      <c r="B42" s="4"/>
      <c r="C42" s="4"/>
      <c r="D42" s="4"/>
      <c r="E42" s="4"/>
      <c r="F42" s="4"/>
    </row>
    <row r="43" spans="1:6" ht="15">
      <c r="A43" s="4"/>
      <c r="B43" s="4"/>
      <c r="C43" s="4"/>
      <c r="D43" s="4"/>
      <c r="E43" s="4"/>
      <c r="F43" s="4"/>
    </row>
    <row r="44" spans="1:6" ht="15">
      <c r="A44" s="4"/>
      <c r="B44" s="4"/>
      <c r="C44" s="4"/>
      <c r="D44" s="4"/>
      <c r="E44" s="4"/>
      <c r="F44" s="4"/>
    </row>
    <row r="45" spans="1:6" ht="15">
      <c r="A45" s="4"/>
      <c r="B45" s="4"/>
      <c r="C45" s="4"/>
      <c r="D45" s="4"/>
      <c r="E45" s="4"/>
      <c r="F45" s="4"/>
    </row>
    <row r="46" spans="1:6" ht="15">
      <c r="A46" s="4"/>
      <c r="B46" s="4"/>
      <c r="C46" s="4"/>
      <c r="D46" s="4"/>
      <c r="E46" s="4"/>
      <c r="F46" s="4"/>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F166"/>
  <sheetViews>
    <sheetView workbookViewId="0">
      <pane xSplit="1" ySplit="3" topLeftCell="B4" activePane="bottomRight" state="frozen"/>
      <selection pane="topRight" activeCell="B1" sqref="B1"/>
      <selection pane="bottomLeft" activeCell="A3" sqref="A3"/>
      <selection pane="bottomRight" activeCell="B37" sqref="B37"/>
    </sheetView>
  </sheetViews>
  <sheetFormatPr baseColWidth="10" defaultRowHeight="15"/>
  <cols>
    <col min="1" max="16384" width="10.7109375" style="4"/>
  </cols>
  <sheetData>
    <row r="1" spans="1:32">
      <c r="B1" s="33" t="s">
        <v>391</v>
      </c>
      <c r="I1" s="33" t="s">
        <v>315</v>
      </c>
      <c r="N1" s="33" t="s">
        <v>164</v>
      </c>
      <c r="S1" s="33" t="s">
        <v>28</v>
      </c>
      <c r="Y1" s="33" t="s">
        <v>29</v>
      </c>
      <c r="AA1" s="33" t="s">
        <v>30</v>
      </c>
      <c r="AD1" s="33" t="s">
        <v>34</v>
      </c>
      <c r="AF1" s="33" t="s">
        <v>33</v>
      </c>
    </row>
    <row r="2" spans="1:32" ht="30">
      <c r="B2" s="5" t="s">
        <v>394</v>
      </c>
      <c r="C2" s="5" t="s">
        <v>269</v>
      </c>
      <c r="D2" s="5" t="s">
        <v>270</v>
      </c>
      <c r="E2" s="5" t="s">
        <v>271</v>
      </c>
      <c r="F2" s="5" t="s">
        <v>272</v>
      </c>
      <c r="G2" s="5" t="s">
        <v>286</v>
      </c>
      <c r="H2" s="5"/>
      <c r="I2" s="14"/>
      <c r="J2" s="5"/>
      <c r="K2" s="5"/>
      <c r="N2" s="16" t="s">
        <v>313</v>
      </c>
      <c r="O2" s="16" t="s">
        <v>316</v>
      </c>
      <c r="P2" s="16" t="s">
        <v>317</v>
      </c>
      <c r="Q2" s="16" t="s">
        <v>318</v>
      </c>
      <c r="S2" s="4" t="s">
        <v>161</v>
      </c>
      <c r="V2" s="4" t="s">
        <v>162</v>
      </c>
      <c r="W2" s="4" t="s">
        <v>163</v>
      </c>
      <c r="Y2" s="4" t="s">
        <v>308</v>
      </c>
      <c r="AA2" s="4" t="s">
        <v>31</v>
      </c>
      <c r="AB2" s="4" t="s">
        <v>309</v>
      </c>
      <c r="AD2" s="4" t="s">
        <v>32</v>
      </c>
      <c r="AF2" s="4" t="s">
        <v>307</v>
      </c>
    </row>
    <row r="3" spans="1:32">
      <c r="N3" s="4" t="s">
        <v>393</v>
      </c>
      <c r="O3" s="4" t="s">
        <v>392</v>
      </c>
      <c r="P3" s="4" t="s">
        <v>392</v>
      </c>
      <c r="Q3" s="4" t="s">
        <v>314</v>
      </c>
      <c r="S3" s="4" t="s">
        <v>165</v>
      </c>
      <c r="T3" s="4" t="s">
        <v>166</v>
      </c>
      <c r="U3" s="4" t="s">
        <v>167</v>
      </c>
    </row>
    <row r="4" spans="1:32">
      <c r="A4" s="4">
        <v>1780</v>
      </c>
      <c r="B4" s="75">
        <f t="shared" ref="B4:B21" si="0">(U4/U$22)*B$22</f>
        <v>394.55461429164518</v>
      </c>
      <c r="C4" s="75"/>
      <c r="D4" s="75"/>
      <c r="E4" s="75"/>
      <c r="F4" s="75"/>
      <c r="G4" s="75"/>
      <c r="H4" s="75"/>
      <c r="I4" s="75"/>
      <c r="J4" s="75"/>
      <c r="K4" s="75"/>
      <c r="S4" s="51">
        <v>13.5</v>
      </c>
      <c r="T4" s="4">
        <v>13.2</v>
      </c>
      <c r="U4" s="51">
        <f t="shared" ref="U4:U36" si="1">(S4/T4)*100</f>
        <v>102.27272727272727</v>
      </c>
    </row>
    <row r="5" spans="1:32">
      <c r="A5" s="4">
        <v>1781</v>
      </c>
      <c r="B5" s="75">
        <f t="shared" si="0"/>
        <v>389.32606180867742</v>
      </c>
      <c r="C5" s="75"/>
      <c r="D5" s="75"/>
      <c r="E5" s="75"/>
      <c r="F5" s="75"/>
      <c r="G5" s="75"/>
      <c r="H5" s="75"/>
      <c r="I5" s="75"/>
      <c r="J5" s="75"/>
      <c r="K5" s="75"/>
      <c r="S5" s="51">
        <v>11</v>
      </c>
      <c r="T5" s="4">
        <v>10.9</v>
      </c>
      <c r="U5" s="51">
        <f t="shared" si="1"/>
        <v>100.91743119266054</v>
      </c>
    </row>
    <row r="6" spans="1:32">
      <c r="A6" s="4">
        <v>1782</v>
      </c>
      <c r="B6" s="75">
        <f t="shared" si="0"/>
        <v>399.97006978192275</v>
      </c>
      <c r="C6" s="75"/>
      <c r="D6" s="75"/>
      <c r="E6" s="75"/>
      <c r="F6" s="75"/>
      <c r="G6" s="75"/>
      <c r="H6" s="75"/>
      <c r="I6" s="75"/>
      <c r="J6" s="75"/>
      <c r="K6" s="75"/>
      <c r="S6" s="51">
        <v>14.1</v>
      </c>
      <c r="T6" s="4">
        <v>13.6</v>
      </c>
      <c r="U6" s="51">
        <f t="shared" si="1"/>
        <v>103.6764705882353</v>
      </c>
    </row>
    <row r="7" spans="1:32">
      <c r="A7" s="4">
        <v>1783</v>
      </c>
      <c r="B7" s="75">
        <f t="shared" si="0"/>
        <v>393.25357398645411</v>
      </c>
      <c r="C7" s="75"/>
      <c r="D7" s="75"/>
      <c r="E7" s="75"/>
      <c r="F7" s="75"/>
      <c r="G7" s="75"/>
      <c r="H7" s="75"/>
      <c r="I7" s="75"/>
      <c r="J7" s="75"/>
      <c r="K7" s="75"/>
      <c r="S7" s="51">
        <v>15.8</v>
      </c>
      <c r="T7" s="4">
        <v>15.5</v>
      </c>
      <c r="U7" s="51">
        <f t="shared" si="1"/>
        <v>101.93548387096773</v>
      </c>
    </row>
    <row r="8" spans="1:32">
      <c r="A8" s="4">
        <v>1784</v>
      </c>
      <c r="B8" s="75">
        <f t="shared" si="0"/>
        <v>385.78673397405311</v>
      </c>
      <c r="C8" s="75"/>
      <c r="D8" s="75"/>
      <c r="E8" s="75"/>
      <c r="F8" s="75"/>
      <c r="G8" s="75"/>
      <c r="H8" s="75"/>
      <c r="I8" s="75"/>
      <c r="J8" s="75"/>
      <c r="K8" s="75"/>
      <c r="S8" s="51">
        <v>16.3</v>
      </c>
      <c r="T8" s="4">
        <v>16.3</v>
      </c>
      <c r="U8" s="51">
        <f t="shared" si="1"/>
        <v>100</v>
      </c>
    </row>
    <row r="9" spans="1:32">
      <c r="A9" s="4">
        <v>1785</v>
      </c>
      <c r="B9" s="75">
        <f t="shared" si="0"/>
        <v>388.24397431783689</v>
      </c>
      <c r="C9" s="75"/>
      <c r="D9" s="75"/>
      <c r="E9" s="75"/>
      <c r="F9" s="75"/>
      <c r="G9" s="75"/>
      <c r="H9" s="75"/>
      <c r="I9" s="75"/>
      <c r="J9" s="75"/>
      <c r="K9" s="75"/>
      <c r="S9" s="51">
        <v>15.8</v>
      </c>
      <c r="T9" s="4">
        <v>15.7</v>
      </c>
      <c r="U9" s="51">
        <f t="shared" si="1"/>
        <v>100.63694267515923</v>
      </c>
    </row>
    <row r="10" spans="1:32">
      <c r="A10" s="4">
        <v>1786</v>
      </c>
      <c r="B10" s="75">
        <f t="shared" si="0"/>
        <v>392.2887575803573</v>
      </c>
      <c r="C10" s="75"/>
      <c r="D10" s="75"/>
      <c r="E10" s="75"/>
      <c r="F10" s="75"/>
      <c r="G10" s="75"/>
      <c r="H10" s="75"/>
      <c r="I10" s="75"/>
      <c r="J10" s="75"/>
      <c r="K10" s="75"/>
      <c r="S10" s="51">
        <v>18.100000000000001</v>
      </c>
      <c r="T10" s="4">
        <v>17.8</v>
      </c>
      <c r="U10" s="51">
        <f t="shared" si="1"/>
        <v>101.68539325842696</v>
      </c>
    </row>
    <row r="11" spans="1:32">
      <c r="A11" s="4">
        <v>1787</v>
      </c>
      <c r="B11" s="75">
        <f t="shared" si="0"/>
        <v>394.40766657682531</v>
      </c>
      <c r="C11" s="75"/>
      <c r="D11" s="75"/>
      <c r="E11" s="75"/>
      <c r="F11" s="75"/>
      <c r="G11" s="75"/>
      <c r="H11" s="75"/>
      <c r="I11" s="75"/>
      <c r="J11" s="75"/>
      <c r="K11" s="75"/>
      <c r="S11" s="51">
        <v>18.3</v>
      </c>
      <c r="T11" s="4">
        <v>17.899999999999999</v>
      </c>
      <c r="U11" s="51">
        <f t="shared" si="1"/>
        <v>102.2346368715084</v>
      </c>
    </row>
    <row r="12" spans="1:32">
      <c r="A12" s="4">
        <v>1788</v>
      </c>
      <c r="B12" s="75">
        <f t="shared" si="0"/>
        <v>387.87206767121017</v>
      </c>
      <c r="C12" s="75"/>
      <c r="D12" s="75"/>
      <c r="E12" s="75"/>
      <c r="F12" s="75"/>
      <c r="G12" s="75"/>
      <c r="H12" s="75"/>
      <c r="I12" s="75"/>
      <c r="J12" s="75"/>
      <c r="K12" s="75"/>
      <c r="S12" s="51">
        <v>18.600000000000001</v>
      </c>
      <c r="T12" s="4">
        <v>18.5</v>
      </c>
      <c r="U12" s="51">
        <f t="shared" si="1"/>
        <v>100.54054054054056</v>
      </c>
    </row>
    <row r="13" spans="1:32">
      <c r="A13" s="4">
        <v>1789</v>
      </c>
      <c r="B13" s="75">
        <f t="shared" si="0"/>
        <v>389.60640460745952</v>
      </c>
      <c r="C13" s="75"/>
      <c r="D13" s="75"/>
      <c r="E13" s="75"/>
      <c r="F13" s="75"/>
      <c r="G13" s="75"/>
      <c r="H13" s="75"/>
      <c r="I13" s="75"/>
      <c r="J13" s="75"/>
      <c r="K13" s="75"/>
      <c r="S13" s="51">
        <v>20.399999999999999</v>
      </c>
      <c r="T13" s="4">
        <v>20.2</v>
      </c>
      <c r="U13" s="51">
        <f t="shared" si="1"/>
        <v>100.99009900990099</v>
      </c>
    </row>
    <row r="14" spans="1:32">
      <c r="A14" s="4">
        <v>1790</v>
      </c>
      <c r="B14" s="75">
        <f t="shared" si="0"/>
        <v>392.89801017633988</v>
      </c>
      <c r="C14" s="75">
        <f>((Y14/N14)/(Y$137/N$137))*100</f>
        <v>72.974409556475024</v>
      </c>
      <c r="D14" s="75"/>
      <c r="E14" s="75"/>
      <c r="F14" s="75"/>
      <c r="G14" s="75"/>
      <c r="H14" s="75"/>
      <c r="I14" s="75"/>
      <c r="J14" s="75"/>
      <c r="K14" s="75"/>
      <c r="N14" s="89">
        <f>N15</f>
        <v>4.5599999999999996</v>
      </c>
      <c r="S14" s="51">
        <v>22.1</v>
      </c>
      <c r="T14" s="4">
        <v>21.7</v>
      </c>
      <c r="U14" s="51">
        <f t="shared" si="1"/>
        <v>101.84331797235025</v>
      </c>
      <c r="Y14" s="88">
        <v>68.329221268485838</v>
      </c>
    </row>
    <row r="15" spans="1:32">
      <c r="A15" s="4">
        <v>1791</v>
      </c>
      <c r="B15" s="75">
        <f t="shared" si="0"/>
        <v>401.40563008636286</v>
      </c>
      <c r="C15" s="75">
        <f t="shared" ref="C15:C77" si="2">((Y15/N15)/(Y$137/N$137))*100</f>
        <v>62.612043399455565</v>
      </c>
      <c r="D15" s="75"/>
      <c r="E15" s="75"/>
      <c r="F15" s="75"/>
      <c r="G15" s="75"/>
      <c r="H15" s="75"/>
      <c r="I15" s="75"/>
      <c r="J15" s="75"/>
      <c r="K15" s="75"/>
      <c r="N15" s="85">
        <v>4.5599999999999996</v>
      </c>
      <c r="O15" s="85"/>
      <c r="P15" s="85"/>
      <c r="Q15" s="85"/>
      <c r="S15" s="51">
        <v>25.7</v>
      </c>
      <c r="T15" s="4">
        <v>24.7</v>
      </c>
      <c r="U15" s="51">
        <f t="shared" si="1"/>
        <v>104.04858299595141</v>
      </c>
      <c r="Y15" s="88">
        <v>58.626471848360843</v>
      </c>
    </row>
    <row r="16" spans="1:32">
      <c r="A16" s="4">
        <v>1792</v>
      </c>
      <c r="B16" s="75">
        <f t="shared" si="0"/>
        <v>415.01300169936007</v>
      </c>
      <c r="C16" s="75">
        <f t="shared" si="2"/>
        <v>60.820497156787212</v>
      </c>
      <c r="D16" s="75"/>
      <c r="E16" s="75"/>
      <c r="F16" s="75"/>
      <c r="G16" s="75"/>
      <c r="H16" s="75"/>
      <c r="I16" s="75"/>
      <c r="J16" s="75"/>
      <c r="K16" s="75"/>
      <c r="N16" s="85">
        <v>4.47</v>
      </c>
      <c r="O16" s="85"/>
      <c r="P16" s="85"/>
      <c r="Q16" s="85"/>
      <c r="S16" s="51">
        <v>28.4</v>
      </c>
      <c r="T16" s="4">
        <v>26.4</v>
      </c>
      <c r="U16" s="51">
        <f t="shared" si="1"/>
        <v>107.57575757575756</v>
      </c>
      <c r="Y16" s="88">
        <v>55.824973776352934</v>
      </c>
    </row>
    <row r="17" spans="1:28">
      <c r="A17" s="4">
        <v>1793</v>
      </c>
      <c r="B17" s="75">
        <f t="shared" si="0"/>
        <v>422.62064324795773</v>
      </c>
      <c r="C17" s="75">
        <f t="shared" si="2"/>
        <v>72.160202840536698</v>
      </c>
      <c r="D17" s="75"/>
      <c r="E17" s="75"/>
      <c r="F17" s="75"/>
      <c r="G17" s="75"/>
      <c r="H17" s="75"/>
      <c r="I17" s="75"/>
      <c r="J17" s="75"/>
      <c r="K17" s="75"/>
      <c r="N17" s="85">
        <v>4.51</v>
      </c>
      <c r="O17" s="85"/>
      <c r="P17" s="85"/>
      <c r="Q17" s="85"/>
      <c r="S17" s="51">
        <v>21.8</v>
      </c>
      <c r="T17" s="4">
        <v>19.899999999999999</v>
      </c>
      <c r="U17" s="51">
        <f t="shared" si="1"/>
        <v>109.54773869346735</v>
      </c>
      <c r="Y17" s="88">
        <v>66.825978400579146</v>
      </c>
    </row>
    <row r="18" spans="1:28">
      <c r="A18" s="4">
        <v>1794</v>
      </c>
      <c r="B18" s="75">
        <f t="shared" si="0"/>
        <v>424.04657535990964</v>
      </c>
      <c r="C18" s="75">
        <f t="shared" si="2"/>
        <v>72.577428768487792</v>
      </c>
      <c r="D18" s="75"/>
      <c r="E18" s="75"/>
      <c r="F18" s="75"/>
      <c r="G18" s="75"/>
      <c r="H18" s="75"/>
      <c r="I18" s="75"/>
      <c r="J18" s="75"/>
      <c r="K18" s="75"/>
      <c r="N18" s="85">
        <v>4.75</v>
      </c>
      <c r="O18" s="85"/>
      <c r="P18" s="85"/>
      <c r="Q18" s="85"/>
      <c r="S18" s="51">
        <v>26.6</v>
      </c>
      <c r="T18" s="4">
        <v>24.2</v>
      </c>
      <c r="U18" s="51">
        <f t="shared" si="1"/>
        <v>109.91735537190084</v>
      </c>
      <c r="Y18" s="88">
        <v>70.789073234151331</v>
      </c>
    </row>
    <row r="19" spans="1:28">
      <c r="A19" s="4">
        <v>1795</v>
      </c>
      <c r="B19" s="75">
        <f t="shared" si="0"/>
        <v>429.00765437778517</v>
      </c>
      <c r="C19" s="75">
        <f t="shared" si="2"/>
        <v>112.83100230443269</v>
      </c>
      <c r="D19" s="75"/>
      <c r="E19" s="75"/>
      <c r="F19" s="75"/>
      <c r="G19" s="75"/>
      <c r="H19" s="75"/>
      <c r="I19" s="75"/>
      <c r="J19" s="75"/>
      <c r="K19" s="75"/>
      <c r="N19" s="85">
        <v>4.53</v>
      </c>
      <c r="O19" s="85"/>
      <c r="P19" s="85"/>
      <c r="Q19" s="85"/>
      <c r="S19" s="51">
        <v>26.8</v>
      </c>
      <c r="T19" s="4">
        <v>24.1</v>
      </c>
      <c r="U19" s="51">
        <f t="shared" si="1"/>
        <v>111.20331950207469</v>
      </c>
      <c r="Y19" s="88">
        <v>104.95368386839425</v>
      </c>
    </row>
    <row r="20" spans="1:28">
      <c r="A20" s="4">
        <v>1796</v>
      </c>
      <c r="B20" s="75">
        <f t="shared" si="0"/>
        <v>456.32236817080155</v>
      </c>
      <c r="C20" s="75">
        <f t="shared" si="2"/>
        <v>133.88099507664572</v>
      </c>
      <c r="D20" s="75"/>
      <c r="E20" s="75"/>
      <c r="F20" s="75"/>
      <c r="G20" s="75"/>
      <c r="H20" s="75"/>
      <c r="I20" s="75"/>
      <c r="J20" s="75"/>
      <c r="K20" s="75"/>
      <c r="N20" s="85">
        <v>4.29</v>
      </c>
      <c r="O20" s="85"/>
      <c r="P20" s="85"/>
      <c r="Q20" s="85"/>
      <c r="S20" s="51">
        <v>31.7</v>
      </c>
      <c r="T20" s="4">
        <v>26.8</v>
      </c>
      <c r="U20" s="51">
        <f t="shared" si="1"/>
        <v>118.28358208955223</v>
      </c>
      <c r="Y20" s="88">
        <v>117.93623590940656</v>
      </c>
    </row>
    <row r="21" spans="1:28">
      <c r="A21" s="4">
        <v>1797</v>
      </c>
      <c r="B21" s="75">
        <f t="shared" si="0"/>
        <v>439.44879847420333</v>
      </c>
      <c r="C21" s="75">
        <f t="shared" si="2"/>
        <v>131.00681568592691</v>
      </c>
      <c r="D21" s="75"/>
      <c r="E21" s="75"/>
      <c r="F21" s="75"/>
      <c r="G21" s="75"/>
      <c r="H21" s="75"/>
      <c r="I21" s="75"/>
      <c r="J21" s="75"/>
      <c r="K21" s="75"/>
      <c r="N21" s="85">
        <v>4.4400000000000004</v>
      </c>
      <c r="O21" s="85"/>
      <c r="P21" s="85"/>
      <c r="Q21" s="85"/>
      <c r="S21" s="51">
        <v>30.3</v>
      </c>
      <c r="T21" s="4">
        <v>26.6</v>
      </c>
      <c r="U21" s="51">
        <f t="shared" si="1"/>
        <v>113.90977443609023</v>
      </c>
      <c r="Y21" s="88">
        <v>119.43947877731325</v>
      </c>
    </row>
    <row r="22" spans="1:28">
      <c r="A22" s="4">
        <v>1798</v>
      </c>
      <c r="B22" s="75">
        <f t="shared" ref="B22:B36" si="3">GEOMEAN(U22:V22)/GEOMEAN(U$45:V$45)*B$45</f>
        <v>433.13961828855787</v>
      </c>
      <c r="C22" s="75">
        <f t="shared" si="2"/>
        <v>157.20981774847132</v>
      </c>
      <c r="D22" s="75"/>
      <c r="E22" s="75"/>
      <c r="F22" s="75"/>
      <c r="G22" s="75"/>
      <c r="H22" s="75"/>
      <c r="I22" s="75"/>
      <c r="J22" s="75"/>
      <c r="K22" s="75"/>
      <c r="N22" s="85">
        <v>4.3899999999999997</v>
      </c>
      <c r="O22" s="85"/>
      <c r="P22" s="85"/>
      <c r="Q22" s="85"/>
      <c r="S22" s="51">
        <v>31.1</v>
      </c>
      <c r="T22" s="4">
        <v>27.7</v>
      </c>
      <c r="U22" s="51">
        <f t="shared" si="1"/>
        <v>112.27436823104695</v>
      </c>
      <c r="V22" s="86">
        <v>430.4</v>
      </c>
      <c r="Y22" s="88">
        <v>141.71480491083963</v>
      </c>
    </row>
    <row r="23" spans="1:28">
      <c r="A23" s="4">
        <v>1799</v>
      </c>
      <c r="B23" s="75">
        <f t="shared" si="3"/>
        <v>460.97368409789755</v>
      </c>
      <c r="C23" s="75">
        <f t="shared" si="2"/>
        <v>177.50062145115979</v>
      </c>
      <c r="D23" s="75"/>
      <c r="E23" s="75"/>
      <c r="F23" s="75"/>
      <c r="G23" s="75"/>
      <c r="H23" s="75"/>
      <c r="I23" s="75"/>
      <c r="J23" s="75"/>
      <c r="K23" s="75"/>
      <c r="N23" s="85">
        <v>4.13</v>
      </c>
      <c r="O23" s="85"/>
      <c r="P23" s="85"/>
      <c r="Q23" s="85"/>
      <c r="S23" s="51">
        <v>41</v>
      </c>
      <c r="T23" s="4">
        <v>30.9</v>
      </c>
      <c r="U23" s="51">
        <f t="shared" si="1"/>
        <v>132.68608414239483</v>
      </c>
      <c r="V23" s="86">
        <v>412.5</v>
      </c>
      <c r="Y23" s="88">
        <v>150.52927445447429</v>
      </c>
    </row>
    <row r="24" spans="1:28">
      <c r="A24" s="4">
        <v>1800</v>
      </c>
      <c r="B24" s="75">
        <f t="shared" si="3"/>
        <v>469.19176569416896</v>
      </c>
      <c r="C24" s="75">
        <f t="shared" si="2"/>
        <v>106.70366280343092</v>
      </c>
      <c r="D24" s="75"/>
      <c r="E24" s="75"/>
      <c r="F24" s="75"/>
      <c r="G24" s="75"/>
      <c r="H24" s="75"/>
      <c r="I24" s="75"/>
      <c r="J24" s="75"/>
      <c r="K24" s="75"/>
      <c r="N24" s="85">
        <v>4.55</v>
      </c>
      <c r="O24" s="85"/>
      <c r="P24" s="85"/>
      <c r="Q24" s="85"/>
      <c r="S24" s="51">
        <v>41.9</v>
      </c>
      <c r="T24" s="4">
        <v>30.6</v>
      </c>
      <c r="U24" s="51">
        <f t="shared" si="1"/>
        <v>136.92810457516339</v>
      </c>
      <c r="V24" s="86">
        <v>414.1</v>
      </c>
      <c r="Y24" s="88">
        <v>99.692333830720841</v>
      </c>
    </row>
    <row r="25" spans="1:28">
      <c r="A25" s="4">
        <v>1801</v>
      </c>
      <c r="B25" s="75">
        <f t="shared" si="3"/>
        <v>473.60060791132264</v>
      </c>
      <c r="C25" s="75">
        <f t="shared" si="2"/>
        <v>117.07494451528942</v>
      </c>
      <c r="D25" s="75"/>
      <c r="E25" s="75"/>
      <c r="F25" s="75"/>
      <c r="G25" s="75"/>
      <c r="H25" s="75"/>
      <c r="I25" s="75"/>
      <c r="J25" s="75"/>
      <c r="K25" s="75"/>
      <c r="N25" s="85">
        <v>4.38</v>
      </c>
      <c r="O25" s="85"/>
      <c r="P25" s="85"/>
      <c r="Q25" s="85"/>
      <c r="S25" s="51">
        <v>45.2</v>
      </c>
      <c r="T25" s="4">
        <v>32.5</v>
      </c>
      <c r="U25" s="51">
        <f t="shared" si="1"/>
        <v>139.07692307692307</v>
      </c>
      <c r="V25" s="86">
        <v>415.4</v>
      </c>
      <c r="Y25" s="88">
        <v>105.29532997473667</v>
      </c>
    </row>
    <row r="26" spans="1:28">
      <c r="A26" s="4">
        <v>1802</v>
      </c>
      <c r="B26" s="75">
        <f t="shared" si="3"/>
        <v>465.5370032702761</v>
      </c>
      <c r="C26" s="75">
        <f t="shared" si="2"/>
        <v>97.749221600898267</v>
      </c>
      <c r="D26" s="75"/>
      <c r="E26" s="75"/>
      <c r="F26" s="75"/>
      <c r="G26" s="75"/>
      <c r="H26" s="75"/>
      <c r="I26" s="75"/>
      <c r="J26" s="75"/>
      <c r="K26" s="75"/>
      <c r="N26" s="85">
        <v>4.4800000000000004</v>
      </c>
      <c r="O26" s="85"/>
      <c r="P26" s="85"/>
      <c r="Q26" s="85"/>
      <c r="S26" s="51">
        <v>45</v>
      </c>
      <c r="T26" s="4">
        <v>36.799999999999997</v>
      </c>
      <c r="U26" s="51">
        <f t="shared" si="1"/>
        <v>122.28260869565217</v>
      </c>
      <c r="V26" s="86">
        <v>456.5</v>
      </c>
      <c r="Y26" s="88">
        <v>89.921255189327368</v>
      </c>
    </row>
    <row r="27" spans="1:28">
      <c r="A27" s="4">
        <v>1803</v>
      </c>
      <c r="B27" s="75">
        <f t="shared" si="3"/>
        <v>463.47662841053483</v>
      </c>
      <c r="C27" s="75">
        <f t="shared" si="2"/>
        <v>97.336932260562719</v>
      </c>
      <c r="D27" s="75"/>
      <c r="E27" s="75"/>
      <c r="F27" s="75"/>
      <c r="G27" s="75"/>
      <c r="H27" s="75"/>
      <c r="I27" s="75"/>
      <c r="J27" s="75"/>
      <c r="K27" s="75"/>
      <c r="N27" s="85">
        <v>4.54</v>
      </c>
      <c r="O27" s="85"/>
      <c r="P27" s="85"/>
      <c r="Q27" s="85"/>
      <c r="S27" s="51">
        <v>35.700000000000003</v>
      </c>
      <c r="T27" s="4">
        <v>29.7</v>
      </c>
      <c r="U27" s="51">
        <f t="shared" si="1"/>
        <v>120.20202020202022</v>
      </c>
      <c r="V27" s="86">
        <v>460.3</v>
      </c>
      <c r="Y27" s="88">
        <v>90.741205844549214</v>
      </c>
    </row>
    <row r="28" spans="1:28">
      <c r="A28" s="4">
        <v>1804</v>
      </c>
      <c r="B28" s="75">
        <f t="shared" si="3"/>
        <v>458.7549540795552</v>
      </c>
      <c r="C28" s="75">
        <f t="shared" si="2"/>
        <v>108.02008907516614</v>
      </c>
      <c r="D28" s="75"/>
      <c r="E28" s="75"/>
      <c r="F28" s="75"/>
      <c r="G28" s="75"/>
      <c r="H28" s="75"/>
      <c r="I28" s="75"/>
      <c r="J28" s="75"/>
      <c r="K28" s="75"/>
      <c r="N28" s="85">
        <v>4.55</v>
      </c>
      <c r="O28" s="85"/>
      <c r="P28" s="85"/>
      <c r="Q28" s="85"/>
      <c r="S28" s="51">
        <v>38.9</v>
      </c>
      <c r="T28" s="4">
        <v>30.8</v>
      </c>
      <c r="U28" s="51">
        <f t="shared" si="1"/>
        <v>126.29870129870129</v>
      </c>
      <c r="V28" s="86">
        <v>429.2</v>
      </c>
      <c r="Y28" s="88">
        <v>100.92225981355357</v>
      </c>
    </row>
    <row r="29" spans="1:28">
      <c r="A29" s="4">
        <v>1805</v>
      </c>
      <c r="B29" s="75">
        <f t="shared" si="3"/>
        <v>464.60904699180657</v>
      </c>
      <c r="C29" s="75">
        <f t="shared" si="2"/>
        <v>119.64179610373581</v>
      </c>
      <c r="D29" s="75"/>
      <c r="E29" s="75"/>
      <c r="F29" s="75"/>
      <c r="G29" s="75"/>
      <c r="H29" s="75"/>
      <c r="I29" s="75"/>
      <c r="J29" s="75"/>
      <c r="K29" s="75"/>
      <c r="N29" s="85">
        <v>4.3499999999999996</v>
      </c>
      <c r="O29" s="85"/>
      <c r="P29" s="85"/>
      <c r="Q29" s="85"/>
      <c r="S29" s="51">
        <v>43.5</v>
      </c>
      <c r="T29" s="4">
        <v>32.5</v>
      </c>
      <c r="U29" s="51">
        <f t="shared" si="1"/>
        <v>133.84615384615384</v>
      </c>
      <c r="V29" s="86">
        <v>415.4</v>
      </c>
      <c r="Y29" s="88">
        <v>106.86690206391185</v>
      </c>
    </row>
    <row r="30" spans="1:28">
      <c r="A30" s="4">
        <v>1806</v>
      </c>
      <c r="B30" s="75">
        <f t="shared" si="3"/>
        <v>442.60056294797749</v>
      </c>
      <c r="C30" s="75">
        <f t="shared" si="2"/>
        <v>106.66453651469232</v>
      </c>
      <c r="D30" s="75"/>
      <c r="E30" s="75"/>
      <c r="F30" s="75"/>
      <c r="G30" s="75"/>
      <c r="H30" s="75"/>
      <c r="I30" s="75"/>
      <c r="J30" s="75"/>
      <c r="K30" s="75"/>
      <c r="N30" s="85">
        <v>4.43</v>
      </c>
      <c r="O30" s="85"/>
      <c r="P30" s="85"/>
      <c r="Q30" s="85"/>
      <c r="S30" s="51">
        <v>44.3</v>
      </c>
      <c r="T30" s="4">
        <v>35.4</v>
      </c>
      <c r="U30" s="51">
        <f t="shared" si="1"/>
        <v>125.14124293785312</v>
      </c>
      <c r="V30" s="86">
        <v>403.2</v>
      </c>
      <c r="Y30" s="88">
        <v>97.02749420124988</v>
      </c>
    </row>
    <row r="31" spans="1:28">
      <c r="A31" s="4">
        <v>1807</v>
      </c>
      <c r="B31" s="75">
        <f t="shared" si="3"/>
        <v>411.42346087159228</v>
      </c>
      <c r="C31" s="75">
        <f t="shared" si="2"/>
        <v>102.30781600916264</v>
      </c>
      <c r="D31" s="75"/>
      <c r="E31" s="75"/>
      <c r="F31" s="75"/>
      <c r="G31" s="75"/>
      <c r="H31" s="75"/>
      <c r="I31" s="75"/>
      <c r="J31" s="75"/>
      <c r="K31" s="75"/>
      <c r="N31" s="85">
        <v>4.43</v>
      </c>
      <c r="O31" s="85"/>
      <c r="P31" s="85"/>
      <c r="Q31" s="85"/>
      <c r="S31" s="51">
        <v>37.799999999999997</v>
      </c>
      <c r="T31" s="4">
        <v>35.200000000000003</v>
      </c>
      <c r="U31" s="51">
        <f t="shared" si="1"/>
        <v>107.38636363636363</v>
      </c>
      <c r="V31" s="86">
        <v>406</v>
      </c>
      <c r="Y31" s="88">
        <v>93.064399367677694</v>
      </c>
      <c r="AA31"/>
      <c r="AB31"/>
    </row>
    <row r="32" spans="1:28">
      <c r="A32" s="4">
        <v>1808</v>
      </c>
      <c r="B32" s="75">
        <f t="shared" si="3"/>
        <v>395.04204878438378</v>
      </c>
      <c r="C32" s="75">
        <f t="shared" si="2"/>
        <v>82.867406833021079</v>
      </c>
      <c r="D32" s="75"/>
      <c r="E32" s="75"/>
      <c r="F32" s="75"/>
      <c r="G32" s="75"/>
      <c r="H32" s="75"/>
      <c r="I32" s="75"/>
      <c r="J32" s="75"/>
      <c r="K32" s="75"/>
      <c r="N32" s="85">
        <v>4.63</v>
      </c>
      <c r="O32" s="85"/>
      <c r="P32" s="85"/>
      <c r="Q32" s="85"/>
      <c r="S32" s="51">
        <v>38.5</v>
      </c>
      <c r="T32" s="4">
        <v>37</v>
      </c>
      <c r="U32" s="51">
        <f t="shared" si="1"/>
        <v>104.05405405405406</v>
      </c>
      <c r="V32" s="86">
        <v>386.3</v>
      </c>
      <c r="Y32" s="88">
        <v>78.783592122564173</v>
      </c>
      <c r="AA32"/>
      <c r="AB32"/>
    </row>
    <row r="33" spans="1:28">
      <c r="A33" s="4">
        <v>1809</v>
      </c>
      <c r="B33" s="75">
        <f t="shared" si="3"/>
        <v>370.4354119152847</v>
      </c>
      <c r="C33" s="75">
        <f t="shared" si="2"/>
        <v>84.610714093016483</v>
      </c>
      <c r="D33" s="75">
        <f>((AA33*O33)/(AA$137*O$137))*100</f>
        <v>222.52951121923604</v>
      </c>
      <c r="E33" s="75"/>
      <c r="F33" s="75"/>
      <c r="G33" s="75"/>
      <c r="H33" s="75"/>
      <c r="I33" s="75"/>
      <c r="J33" s="75"/>
      <c r="K33" s="75"/>
      <c r="N33" s="85">
        <v>4.57</v>
      </c>
      <c r="O33" s="85">
        <v>48.75</v>
      </c>
      <c r="P33" s="85"/>
      <c r="Q33" s="85"/>
      <c r="S33" s="51">
        <v>47.8</v>
      </c>
      <c r="T33" s="4">
        <v>48.7</v>
      </c>
      <c r="U33" s="51">
        <f t="shared" si="1"/>
        <v>98.151950718685825</v>
      </c>
      <c r="V33" s="86">
        <v>360.1</v>
      </c>
      <c r="Y33" s="88">
        <v>79.398555113980549</v>
      </c>
      <c r="AA33">
        <v>179</v>
      </c>
      <c r="AB33"/>
    </row>
    <row r="34" spans="1:28">
      <c r="A34" s="4">
        <v>1810</v>
      </c>
      <c r="B34" s="75">
        <f t="shared" si="3"/>
        <v>373.2631505445159</v>
      </c>
      <c r="C34" s="75">
        <f t="shared" si="2"/>
        <v>99.519445010395003</v>
      </c>
      <c r="D34" s="75">
        <f t="shared" ref="D34:D97" si="4">((AA34*O34)/(AA$137*O$137))*100</f>
        <v>235.49940199776103</v>
      </c>
      <c r="E34" s="75"/>
      <c r="F34" s="75"/>
      <c r="G34" s="75"/>
      <c r="H34" s="75"/>
      <c r="I34" s="75"/>
      <c r="J34" s="75"/>
      <c r="K34" s="75"/>
      <c r="N34" s="85">
        <v>4.3</v>
      </c>
      <c r="O34" s="85">
        <v>48.35</v>
      </c>
      <c r="P34" s="85"/>
      <c r="Q34" s="85"/>
      <c r="S34" s="51">
        <v>48</v>
      </c>
      <c r="T34" s="4">
        <v>48.5</v>
      </c>
      <c r="U34" s="51">
        <f t="shared" si="1"/>
        <v>98.969072164948457</v>
      </c>
      <c r="V34" s="86">
        <v>362.6</v>
      </c>
      <c r="Y34" s="88">
        <v>87.871378551272784</v>
      </c>
      <c r="AA34">
        <v>191</v>
      </c>
      <c r="AB34"/>
    </row>
    <row r="35" spans="1:28">
      <c r="A35" s="4">
        <v>1811</v>
      </c>
      <c r="B35" s="75">
        <f t="shared" si="3"/>
        <v>319.15810687925352</v>
      </c>
      <c r="C35" s="75">
        <f t="shared" si="2"/>
        <v>112.02450616353366</v>
      </c>
      <c r="D35" s="75">
        <f t="shared" si="4"/>
        <v>232.89573340065641</v>
      </c>
      <c r="E35" s="75"/>
      <c r="F35" s="75"/>
      <c r="G35" s="75"/>
      <c r="H35" s="75"/>
      <c r="I35" s="75"/>
      <c r="J35" s="75"/>
      <c r="K35" s="75"/>
      <c r="N35" s="85">
        <v>3.82</v>
      </c>
      <c r="O35" s="85">
        <v>55.35</v>
      </c>
      <c r="P35" s="85"/>
      <c r="Q35" s="85"/>
      <c r="S35" s="51">
        <v>32.200000000000003</v>
      </c>
      <c r="T35" s="4">
        <v>33.1</v>
      </c>
      <c r="U35" s="51">
        <f t="shared" si="1"/>
        <v>97.280966767371595</v>
      </c>
      <c r="V35" s="86">
        <v>269.7</v>
      </c>
      <c r="Y35" s="88">
        <v>87.871378551272784</v>
      </c>
      <c r="AA35">
        <v>165</v>
      </c>
      <c r="AB35"/>
    </row>
    <row r="36" spans="1:28">
      <c r="A36" s="4">
        <v>1812</v>
      </c>
      <c r="B36" s="75">
        <f t="shared" si="3"/>
        <v>355.77454103174841</v>
      </c>
      <c r="C36" s="75">
        <f t="shared" si="2"/>
        <v>116.8348519146507</v>
      </c>
      <c r="D36" s="75">
        <f t="shared" si="4"/>
        <v>225.26782594947204</v>
      </c>
      <c r="E36" s="75"/>
      <c r="F36" s="75"/>
      <c r="G36" s="75"/>
      <c r="H36" s="75"/>
      <c r="I36" s="75"/>
      <c r="J36" s="75"/>
      <c r="K36" s="75"/>
      <c r="N36" s="85">
        <v>3.62</v>
      </c>
      <c r="O36" s="85">
        <v>52.27</v>
      </c>
      <c r="P36" s="85"/>
      <c r="Q36" s="85"/>
      <c r="S36" s="51">
        <v>39.6</v>
      </c>
      <c r="T36" s="4">
        <v>43.8</v>
      </c>
      <c r="U36" s="51">
        <f t="shared" si="1"/>
        <v>90.410958904109592</v>
      </c>
      <c r="V36" s="86">
        <v>360.6</v>
      </c>
      <c r="Y36" s="88">
        <v>86.846440232245499</v>
      </c>
      <c r="AA36">
        <v>169</v>
      </c>
      <c r="AB36"/>
    </row>
    <row r="37" spans="1:28">
      <c r="A37" s="4">
        <v>1813</v>
      </c>
      <c r="B37" s="57">
        <f>(B36+B38)/2</f>
        <v>362.0123840850311</v>
      </c>
      <c r="C37" s="75">
        <f t="shared" si="2"/>
        <v>112.25215575615212</v>
      </c>
      <c r="D37" s="75">
        <f t="shared" si="4"/>
        <v>221.02162753513426</v>
      </c>
      <c r="E37" s="75"/>
      <c r="F37" s="75"/>
      <c r="G37" s="75"/>
      <c r="H37" s="75"/>
      <c r="I37" s="75"/>
      <c r="J37" s="75"/>
      <c r="K37" s="75"/>
      <c r="N37" s="85">
        <v>3.75</v>
      </c>
      <c r="O37" s="85">
        <v>51.59</v>
      </c>
      <c r="P37" s="85"/>
      <c r="Q37" s="85"/>
      <c r="S37" s="51"/>
      <c r="V37" s="86"/>
      <c r="Y37" s="88">
        <v>86.436464904634576</v>
      </c>
      <c r="AA37">
        <v>168</v>
      </c>
      <c r="AB37"/>
    </row>
    <row r="38" spans="1:28">
      <c r="A38" s="4">
        <v>1814</v>
      </c>
      <c r="B38" s="75">
        <f t="shared" ref="B38:B44" si="5">GEOMEAN(U38:V38)/GEOMEAN(U$45:V$45)*B$45</f>
        <v>368.25022713831379</v>
      </c>
      <c r="C38" s="75">
        <f t="shared" si="2"/>
        <v>99.907474185422316</v>
      </c>
      <c r="D38" s="75">
        <f t="shared" si="4"/>
        <v>189.17016670109325</v>
      </c>
      <c r="E38" s="75"/>
      <c r="F38" s="75"/>
      <c r="G38" s="75"/>
      <c r="H38" s="75"/>
      <c r="I38" s="75"/>
      <c r="J38" s="75"/>
      <c r="K38" s="75"/>
      <c r="N38" s="85">
        <v>4.24</v>
      </c>
      <c r="O38" s="85">
        <v>46.95</v>
      </c>
      <c r="P38" s="85">
        <v>58.45</v>
      </c>
      <c r="Q38" s="85"/>
      <c r="S38" s="51">
        <v>48</v>
      </c>
      <c r="T38" s="4">
        <v>46.6</v>
      </c>
      <c r="U38" s="51">
        <f t="shared" ref="U38:U45" si="6">(S38/T38)*100</f>
        <v>103.00429184549355</v>
      </c>
      <c r="V38" s="86">
        <v>339.1</v>
      </c>
      <c r="Y38" s="88">
        <v>86.983098674782468</v>
      </c>
      <c r="AA38">
        <v>158</v>
      </c>
      <c r="AB38"/>
    </row>
    <row r="39" spans="1:28">
      <c r="A39" s="4">
        <v>1815</v>
      </c>
      <c r="B39" s="75">
        <f t="shared" si="5"/>
        <v>326.14793152817981</v>
      </c>
      <c r="C39" s="75">
        <f t="shared" si="2"/>
        <v>124.20899786924392</v>
      </c>
      <c r="D39" s="75">
        <f t="shared" si="4"/>
        <v>188.90775974845656</v>
      </c>
      <c r="E39" s="75"/>
      <c r="F39" s="75"/>
      <c r="G39" s="75"/>
      <c r="H39" s="75"/>
      <c r="I39" s="75"/>
      <c r="J39" s="75"/>
      <c r="K39" s="75"/>
      <c r="N39" s="85">
        <v>4.9000000000000004</v>
      </c>
      <c r="O39" s="85">
        <v>46.59</v>
      </c>
      <c r="P39" s="85">
        <v>55.77</v>
      </c>
      <c r="Q39" s="85"/>
      <c r="S39" s="51">
        <v>52.1</v>
      </c>
      <c r="T39" s="4">
        <v>59.5</v>
      </c>
      <c r="U39" s="51">
        <f t="shared" si="6"/>
        <v>87.563025210084035</v>
      </c>
      <c r="V39" s="86">
        <v>312.89999999999998</v>
      </c>
      <c r="Y39" s="88">
        <v>124.9741457000606</v>
      </c>
      <c r="AA39">
        <v>159</v>
      </c>
      <c r="AB39"/>
    </row>
    <row r="40" spans="1:28">
      <c r="A40" s="4">
        <v>1816</v>
      </c>
      <c r="B40" s="75">
        <f t="shared" si="5"/>
        <v>305.23051329581</v>
      </c>
      <c r="C40" s="75">
        <f t="shared" si="2"/>
        <v>158.22194049950571</v>
      </c>
      <c r="D40" s="75">
        <f t="shared" si="4"/>
        <v>161.53455789911234</v>
      </c>
      <c r="E40" s="75"/>
      <c r="F40" s="75"/>
      <c r="G40" s="75"/>
      <c r="H40" s="75"/>
      <c r="I40" s="75"/>
      <c r="J40" s="75"/>
      <c r="K40" s="75"/>
      <c r="N40" s="85">
        <v>5.22</v>
      </c>
      <c r="O40" s="85">
        <v>39.590000000000003</v>
      </c>
      <c r="P40" s="85">
        <v>48.98</v>
      </c>
      <c r="Q40" s="85"/>
      <c r="S40" s="51">
        <v>40.6</v>
      </c>
      <c r="T40" s="4">
        <v>50.3</v>
      </c>
      <c r="U40" s="51">
        <f t="shared" si="6"/>
        <v>80.715705765407563</v>
      </c>
      <c r="V40" s="86">
        <v>297.3</v>
      </c>
      <c r="Y40" s="88">
        <v>169.59312718838186</v>
      </c>
      <c r="AA40">
        <v>160</v>
      </c>
      <c r="AB40"/>
    </row>
    <row r="41" spans="1:28">
      <c r="A41" s="4">
        <v>1817</v>
      </c>
      <c r="B41" s="75">
        <f t="shared" si="5"/>
        <v>283.74642353122937</v>
      </c>
      <c r="C41" s="75">
        <f t="shared" si="2"/>
        <v>173.83265828452068</v>
      </c>
      <c r="D41" s="75">
        <f t="shared" si="4"/>
        <v>194.53663114354859</v>
      </c>
      <c r="E41" s="75"/>
      <c r="F41" s="75"/>
      <c r="G41" s="75"/>
      <c r="H41" s="75"/>
      <c r="I41" s="75"/>
      <c r="J41" s="75"/>
      <c r="K41" s="75"/>
      <c r="N41" s="85">
        <v>4.5999999999999996</v>
      </c>
      <c r="O41" s="85">
        <v>39.94</v>
      </c>
      <c r="P41" s="85">
        <v>49.61</v>
      </c>
      <c r="Q41" s="85"/>
      <c r="S41" s="51">
        <v>42.1</v>
      </c>
      <c r="T41" s="4">
        <v>53.9</v>
      </c>
      <c r="U41" s="51">
        <f t="shared" si="6"/>
        <v>78.107606679035257</v>
      </c>
      <c r="V41" s="86">
        <v>265.5</v>
      </c>
      <c r="Y41" s="88">
        <v>164.19511870817146</v>
      </c>
      <c r="AA41">
        <v>191</v>
      </c>
      <c r="AB41"/>
    </row>
    <row r="42" spans="1:28">
      <c r="A42" s="4">
        <v>1818</v>
      </c>
      <c r="B42" s="75">
        <f t="shared" si="5"/>
        <v>293.41818282101724</v>
      </c>
      <c r="C42" s="75">
        <f t="shared" si="2"/>
        <v>181.54087113396145</v>
      </c>
      <c r="D42" s="75">
        <f t="shared" si="4"/>
        <v>206.1768913574013</v>
      </c>
      <c r="E42" s="75"/>
      <c r="F42" s="75"/>
      <c r="G42" s="75"/>
      <c r="H42" s="75"/>
      <c r="I42" s="75"/>
      <c r="J42" s="75"/>
      <c r="K42" s="75"/>
      <c r="N42" s="85">
        <v>4.5</v>
      </c>
      <c r="O42" s="85">
        <v>41.25</v>
      </c>
      <c r="P42" s="85">
        <v>51.34</v>
      </c>
      <c r="Q42" s="85"/>
      <c r="S42" s="51">
        <v>47</v>
      </c>
      <c r="T42" s="4">
        <v>58.9</v>
      </c>
      <c r="U42" s="51">
        <f t="shared" si="6"/>
        <v>79.79626485568761</v>
      </c>
      <c r="V42" s="86">
        <v>277.89999999999998</v>
      </c>
      <c r="Y42" s="88">
        <v>167.74823821413273</v>
      </c>
      <c r="AA42">
        <v>196</v>
      </c>
      <c r="AB42"/>
    </row>
    <row r="43" spans="1:28">
      <c r="A43" s="4">
        <v>1819</v>
      </c>
      <c r="B43" s="75">
        <f t="shared" si="5"/>
        <v>278.7079843017674</v>
      </c>
      <c r="C43" s="75">
        <f t="shared" si="2"/>
        <v>143.65635473468808</v>
      </c>
      <c r="D43" s="75">
        <f t="shared" si="4"/>
        <v>184.02377728305527</v>
      </c>
      <c r="E43" s="75"/>
      <c r="F43" s="75"/>
      <c r="G43" s="75"/>
      <c r="H43" s="75"/>
      <c r="I43" s="75"/>
      <c r="J43" s="75"/>
      <c r="K43" s="75"/>
      <c r="N43" s="85">
        <v>4.51</v>
      </c>
      <c r="O43" s="85">
        <v>40.770000000000003</v>
      </c>
      <c r="P43" s="85">
        <v>50.09</v>
      </c>
      <c r="Q43" s="85"/>
      <c r="S43" s="51">
        <v>35.799999999999997</v>
      </c>
      <c r="T43" s="4">
        <v>47.9</v>
      </c>
      <c r="U43" s="51">
        <f t="shared" si="6"/>
        <v>74.739039665970765</v>
      </c>
      <c r="V43" s="86">
        <v>267.7</v>
      </c>
      <c r="Y43" s="88">
        <v>133.03699380974192</v>
      </c>
      <c r="AA43">
        <v>177</v>
      </c>
      <c r="AB43"/>
    </row>
    <row r="44" spans="1:28">
      <c r="A44" s="4">
        <v>1820</v>
      </c>
      <c r="B44" s="75">
        <f t="shared" si="5"/>
        <v>250.51006248024817</v>
      </c>
      <c r="C44" s="75">
        <f t="shared" si="2"/>
        <v>106.16032954132577</v>
      </c>
      <c r="D44" s="75">
        <f t="shared" si="4"/>
        <v>159.65767240697815</v>
      </c>
      <c r="E44" s="75"/>
      <c r="F44" s="75"/>
      <c r="G44" s="75"/>
      <c r="H44" s="75"/>
      <c r="I44" s="75"/>
      <c r="J44" s="75"/>
      <c r="K44" s="75"/>
      <c r="N44" s="85">
        <v>4.5199999999999996</v>
      </c>
      <c r="O44" s="85">
        <v>39.130000000000003</v>
      </c>
      <c r="P44" s="85">
        <v>47.57</v>
      </c>
      <c r="Q44" s="85"/>
      <c r="S44" s="51">
        <v>35.200000000000003</v>
      </c>
      <c r="T44" s="4">
        <v>52.7</v>
      </c>
      <c r="U44" s="51">
        <f t="shared" si="6"/>
        <v>66.793168880455411</v>
      </c>
      <c r="V44" s="86">
        <v>242</v>
      </c>
      <c r="Y44" s="88">
        <v>98.530737069156558</v>
      </c>
      <c r="AA44">
        <v>160</v>
      </c>
      <c r="AB44"/>
    </row>
    <row r="45" spans="1:28">
      <c r="A45" s="4">
        <v>1821</v>
      </c>
      <c r="B45" s="75">
        <f t="shared" ref="B45:B76" si="7">V45/V$94*B$94</f>
        <v>235.3664700926706</v>
      </c>
      <c r="C45" s="75">
        <f t="shared" si="2"/>
        <v>88.299641160094581</v>
      </c>
      <c r="D45" s="75">
        <f t="shared" si="4"/>
        <v>156.65465561956347</v>
      </c>
      <c r="E45" s="75"/>
      <c r="F45" s="75"/>
      <c r="G45" s="75">
        <v>149.34435512879313</v>
      </c>
      <c r="H45" s="75"/>
      <c r="I45" s="75"/>
      <c r="J45" s="75"/>
      <c r="K45" s="75"/>
      <c r="N45" s="85">
        <v>4.82</v>
      </c>
      <c r="O45" s="85">
        <v>38.880000000000003</v>
      </c>
      <c r="P45" s="85">
        <v>46.07</v>
      </c>
      <c r="Q45" s="85"/>
      <c r="S45" s="51">
        <v>36.700000000000003</v>
      </c>
      <c r="T45" s="4">
        <v>58.9</v>
      </c>
      <c r="U45" s="51">
        <f t="shared" si="6"/>
        <v>62.308998302207144</v>
      </c>
      <c r="V45" s="86">
        <v>229</v>
      </c>
      <c r="Y45" s="88">
        <v>87.393074002393391</v>
      </c>
      <c r="AA45">
        <v>158</v>
      </c>
      <c r="AB45"/>
    </row>
    <row r="46" spans="1:28">
      <c r="A46" s="4">
        <v>1822</v>
      </c>
      <c r="B46" s="75">
        <f t="shared" si="7"/>
        <v>219.12721145745576</v>
      </c>
      <c r="C46" s="75">
        <f t="shared" si="2"/>
        <v>91.075579965495578</v>
      </c>
      <c r="D46" s="75">
        <f t="shared" si="4"/>
        <v>154.22031473533622</v>
      </c>
      <c r="E46" s="75"/>
      <c r="F46" s="75"/>
      <c r="G46" s="75">
        <v>119.11867973830863</v>
      </c>
      <c r="H46" s="75"/>
      <c r="I46" s="75"/>
      <c r="J46" s="75"/>
      <c r="K46" s="75"/>
      <c r="N46" s="85">
        <v>4.9800000000000004</v>
      </c>
      <c r="O46" s="85">
        <v>39.270000000000003</v>
      </c>
      <c r="P46" s="85">
        <v>46.76</v>
      </c>
      <c r="Q46" s="85"/>
      <c r="V46" s="86">
        <v>213.2</v>
      </c>
      <c r="Y46" s="88">
        <v>93.132728588946193</v>
      </c>
      <c r="AA46">
        <v>154</v>
      </c>
      <c r="AB46"/>
    </row>
    <row r="47" spans="1:28">
      <c r="A47" s="4">
        <v>1823</v>
      </c>
      <c r="B47" s="75">
        <f t="shared" si="7"/>
        <v>212.03538331929235</v>
      </c>
      <c r="C47" s="75">
        <f t="shared" si="2"/>
        <v>79.30858830597704</v>
      </c>
      <c r="D47" s="75">
        <f t="shared" si="4"/>
        <v>146.36238680671906</v>
      </c>
      <c r="E47" s="75"/>
      <c r="F47" s="75"/>
      <c r="G47" s="75">
        <v>134.72611876377212</v>
      </c>
      <c r="H47" s="75"/>
      <c r="I47" s="75"/>
      <c r="J47" s="75"/>
      <c r="K47" s="75"/>
      <c r="N47" s="85">
        <v>4.8</v>
      </c>
      <c r="O47" s="85">
        <v>38.78</v>
      </c>
      <c r="P47" s="85">
        <v>46.23</v>
      </c>
      <c r="Q47" s="85"/>
      <c r="V47" s="86">
        <v>206.3</v>
      </c>
      <c r="Y47" s="88">
        <v>78.168629131147796</v>
      </c>
      <c r="AA47">
        <v>148</v>
      </c>
      <c r="AB47"/>
    </row>
    <row r="48" spans="1:28">
      <c r="A48" s="4">
        <v>1824</v>
      </c>
      <c r="B48" s="75">
        <f t="shared" si="7"/>
        <v>206.48525695029485</v>
      </c>
      <c r="C48" s="75">
        <f t="shared" si="2"/>
        <v>86.231477240829122</v>
      </c>
      <c r="D48" s="75">
        <f t="shared" si="4"/>
        <v>139.51787503920804</v>
      </c>
      <c r="E48" s="75"/>
      <c r="F48" s="75"/>
      <c r="G48" s="75">
        <v>102.9290239369339</v>
      </c>
      <c r="H48" s="75"/>
      <c r="I48" s="75"/>
      <c r="J48" s="75"/>
      <c r="K48" s="75"/>
      <c r="N48" s="85">
        <v>4.87</v>
      </c>
      <c r="O48" s="85">
        <v>39.36</v>
      </c>
      <c r="P48" s="85">
        <v>47.16</v>
      </c>
      <c r="Q48" s="85"/>
      <c r="V48" s="86">
        <v>200.9</v>
      </c>
      <c r="Y48" s="88">
        <v>86.231477240829122</v>
      </c>
      <c r="AA48">
        <v>139</v>
      </c>
      <c r="AB48"/>
    </row>
    <row r="49" spans="1:28">
      <c r="A49" s="4">
        <v>1825</v>
      </c>
      <c r="B49" s="75">
        <f t="shared" si="7"/>
        <v>215.94102780117942</v>
      </c>
      <c r="C49" s="75">
        <f t="shared" si="2"/>
        <v>105.06501947323544</v>
      </c>
      <c r="D49" s="75">
        <f t="shared" si="4"/>
        <v>147.66090595426621</v>
      </c>
      <c r="E49" s="75"/>
      <c r="F49" s="75"/>
      <c r="G49" s="75">
        <v>127.6547478191783</v>
      </c>
      <c r="H49" s="75"/>
      <c r="I49" s="75"/>
      <c r="J49" s="75"/>
      <c r="K49" s="75"/>
      <c r="N49" s="85">
        <v>4.83</v>
      </c>
      <c r="O49" s="85">
        <v>39.659999999999997</v>
      </c>
      <c r="P49" s="85">
        <v>47.67</v>
      </c>
      <c r="Q49" s="85"/>
      <c r="V49" s="86">
        <v>210.1</v>
      </c>
      <c r="Y49" s="88">
        <v>104.20206243444089</v>
      </c>
      <c r="AA49">
        <v>146</v>
      </c>
      <c r="AB49"/>
    </row>
    <row r="50" spans="1:28">
      <c r="A50" s="4">
        <v>1826</v>
      </c>
      <c r="B50" s="75">
        <f t="shared" si="7"/>
        <v>201.75737152485257</v>
      </c>
      <c r="C50" s="75">
        <f t="shared" si="2"/>
        <v>77.644771768089413</v>
      </c>
      <c r="D50" s="75">
        <f t="shared" si="4"/>
        <v>137.14167680337837</v>
      </c>
      <c r="E50" s="75"/>
      <c r="F50" s="75"/>
      <c r="G50" s="75">
        <v>108.45379865913267</v>
      </c>
      <c r="H50" s="75"/>
      <c r="I50" s="75"/>
      <c r="J50" s="75"/>
      <c r="K50" s="75"/>
      <c r="N50" s="85">
        <v>4.92</v>
      </c>
      <c r="O50" s="85">
        <v>38.97</v>
      </c>
      <c r="P50" s="85">
        <v>46.69</v>
      </c>
      <c r="Q50" s="85"/>
      <c r="V50" s="86">
        <v>196.3</v>
      </c>
      <c r="Y50" s="88">
        <v>78.441946016221735</v>
      </c>
      <c r="AA50">
        <v>138</v>
      </c>
      <c r="AB50"/>
    </row>
    <row r="51" spans="1:28">
      <c r="A51" s="4">
        <v>1827</v>
      </c>
      <c r="B51" s="75">
        <f t="shared" si="7"/>
        <v>186.64869418702611</v>
      </c>
      <c r="C51" s="75">
        <f t="shared" si="2"/>
        <v>69.045018272664819</v>
      </c>
      <c r="D51" s="75">
        <f t="shared" si="4"/>
        <v>126.08386311996513</v>
      </c>
      <c r="E51" s="75"/>
      <c r="F51" s="75"/>
      <c r="G51" s="75">
        <v>95.982659032283394</v>
      </c>
      <c r="H51" s="75"/>
      <c r="I51" s="75"/>
      <c r="J51" s="75"/>
      <c r="K51" s="75"/>
      <c r="N51" s="85">
        <v>4.9400000000000004</v>
      </c>
      <c r="O51" s="85">
        <v>39.24</v>
      </c>
      <c r="P51" s="85">
        <v>47.4</v>
      </c>
      <c r="Q51" s="85"/>
      <c r="V51" s="86">
        <v>181.6</v>
      </c>
      <c r="Y51" s="88">
        <v>70.037451800197985</v>
      </c>
      <c r="AA51">
        <v>126</v>
      </c>
      <c r="AB51"/>
    </row>
    <row r="52" spans="1:28">
      <c r="A52" s="4">
        <v>1828</v>
      </c>
      <c r="B52" s="75">
        <f t="shared" si="7"/>
        <v>182.64026958719461</v>
      </c>
      <c r="C52" s="75">
        <f t="shared" si="2"/>
        <v>68.915078506420713</v>
      </c>
      <c r="D52" s="75">
        <f t="shared" si="4"/>
        <v>123.67782852508932</v>
      </c>
      <c r="E52" s="75"/>
      <c r="F52" s="75"/>
      <c r="G52" s="75">
        <v>89.574227682876682</v>
      </c>
      <c r="H52" s="75"/>
      <c r="I52" s="75"/>
      <c r="J52" s="75"/>
      <c r="K52" s="75"/>
      <c r="N52" s="85">
        <v>4.93</v>
      </c>
      <c r="O52" s="85">
        <v>39.43</v>
      </c>
      <c r="P52" s="85">
        <v>47.8</v>
      </c>
      <c r="Q52" s="85"/>
      <c r="V52" s="86">
        <v>177.7</v>
      </c>
      <c r="Y52" s="88">
        <v>69.764134915124032</v>
      </c>
      <c r="AA52">
        <v>123</v>
      </c>
      <c r="AB52"/>
    </row>
    <row r="53" spans="1:28">
      <c r="A53" s="4">
        <v>1829</v>
      </c>
      <c r="B53" s="75">
        <f t="shared" si="7"/>
        <v>167.22325189553496</v>
      </c>
      <c r="C53" s="75">
        <f t="shared" si="2"/>
        <v>73.331173336528892</v>
      </c>
      <c r="D53" s="75">
        <f t="shared" si="4"/>
        <v>122.45453780419699</v>
      </c>
      <c r="E53" s="75"/>
      <c r="F53" s="75"/>
      <c r="G53" s="75">
        <v>78.715108856890154</v>
      </c>
      <c r="H53" s="75"/>
      <c r="I53" s="75"/>
      <c r="J53" s="75"/>
      <c r="K53" s="75"/>
      <c r="N53" s="85">
        <v>4.8600000000000003</v>
      </c>
      <c r="O53" s="85">
        <v>39.04</v>
      </c>
      <c r="P53" s="85">
        <v>47.46</v>
      </c>
      <c r="Q53" s="85"/>
      <c r="V53" s="86">
        <v>162.69999999999999</v>
      </c>
      <c r="Y53" s="88">
        <v>73.180595978548325</v>
      </c>
      <c r="AA53">
        <v>123</v>
      </c>
      <c r="AB53"/>
    </row>
    <row r="54" spans="1:28">
      <c r="A54" s="4">
        <v>1830</v>
      </c>
      <c r="B54" s="75">
        <f t="shared" si="7"/>
        <v>164.03706823925864</v>
      </c>
      <c r="C54" s="75">
        <f t="shared" si="2"/>
        <v>69.90825789443825</v>
      </c>
      <c r="D54" s="75">
        <f t="shared" si="4"/>
        <v>116.45130935714123</v>
      </c>
      <c r="E54" s="75"/>
      <c r="F54" s="75"/>
      <c r="G54" s="75">
        <v>71.223590781413478</v>
      </c>
      <c r="H54" s="75"/>
      <c r="I54" s="75"/>
      <c r="J54" s="75"/>
      <c r="K54" s="75"/>
      <c r="N54" s="85">
        <v>4.76</v>
      </c>
      <c r="O54" s="85">
        <v>39.03</v>
      </c>
      <c r="P54" s="85">
        <v>47.06</v>
      </c>
      <c r="Q54" s="85"/>
      <c r="V54" s="86">
        <v>159.6</v>
      </c>
      <c r="Y54" s="88">
        <v>68.329221268485838</v>
      </c>
      <c r="AA54">
        <v>117</v>
      </c>
      <c r="AB54"/>
    </row>
    <row r="55" spans="1:28">
      <c r="A55" s="4">
        <v>1831</v>
      </c>
      <c r="B55" s="75">
        <f t="shared" si="7"/>
        <v>160.43976411120471</v>
      </c>
      <c r="C55" s="75">
        <f t="shared" si="2"/>
        <v>67.648178577488835</v>
      </c>
      <c r="D55" s="75">
        <f t="shared" si="4"/>
        <v>112.1495184105636</v>
      </c>
      <c r="E55" s="75"/>
      <c r="F55" s="75"/>
      <c r="G55" s="75">
        <v>52.732882508142076</v>
      </c>
      <c r="H55" s="75"/>
      <c r="I55" s="75"/>
      <c r="J55" s="75"/>
      <c r="K55" s="75"/>
      <c r="N55" s="85">
        <v>4.8600000000000003</v>
      </c>
      <c r="O55" s="85">
        <v>39.619999999999997</v>
      </c>
      <c r="P55" s="85">
        <v>47.98</v>
      </c>
      <c r="Q55" s="85"/>
      <c r="V55" s="86">
        <v>156.1</v>
      </c>
      <c r="Y55" s="88">
        <v>67.509270613264007</v>
      </c>
      <c r="AA55">
        <v>111</v>
      </c>
      <c r="AB55"/>
    </row>
    <row r="56" spans="1:28">
      <c r="A56" s="4">
        <v>1832</v>
      </c>
      <c r="B56" s="75">
        <f t="shared" si="7"/>
        <v>157.2535804549284</v>
      </c>
      <c r="C56" s="75">
        <f t="shared" si="2"/>
        <v>71.619427927179458</v>
      </c>
      <c r="D56" s="75">
        <f t="shared" si="4"/>
        <v>110.87497035489969</v>
      </c>
      <c r="E56" s="75"/>
      <c r="F56" s="75"/>
      <c r="G56" s="75">
        <v>68.327694921797928</v>
      </c>
      <c r="H56" s="75"/>
      <c r="I56" s="75"/>
      <c r="J56" s="75"/>
      <c r="K56" s="75"/>
      <c r="N56" s="85">
        <v>4.8600000000000003</v>
      </c>
      <c r="O56" s="85">
        <v>38.82</v>
      </c>
      <c r="P56" s="85">
        <v>47.29</v>
      </c>
      <c r="Q56" s="85"/>
      <c r="V56" s="86">
        <v>153</v>
      </c>
      <c r="Y56" s="88">
        <v>71.472365446836179</v>
      </c>
      <c r="AA56">
        <v>112</v>
      </c>
      <c r="AB56"/>
    </row>
    <row r="57" spans="1:28">
      <c r="A57" s="4">
        <v>1833</v>
      </c>
      <c r="B57" s="75">
        <f t="shared" si="7"/>
        <v>148.62005054759899</v>
      </c>
      <c r="C57" s="75">
        <f t="shared" si="2"/>
        <v>79.960452405372124</v>
      </c>
      <c r="D57" s="75">
        <f t="shared" si="4"/>
        <v>115.43687314957197</v>
      </c>
      <c r="E57" s="75"/>
      <c r="F57" s="75"/>
      <c r="G57" s="75">
        <v>70.220226942200895</v>
      </c>
      <c r="H57" s="75"/>
      <c r="I57" s="75"/>
      <c r="J57" s="75"/>
      <c r="K57" s="75"/>
      <c r="N57" s="85">
        <v>4.79</v>
      </c>
      <c r="O57" s="85">
        <v>38.69</v>
      </c>
      <c r="P57" s="85">
        <v>47.57</v>
      </c>
      <c r="Q57" s="85"/>
      <c r="V57" s="86">
        <v>144.6</v>
      </c>
      <c r="Y57" s="88">
        <v>78.646933680027189</v>
      </c>
      <c r="AA57">
        <v>117</v>
      </c>
      <c r="AB57"/>
    </row>
    <row r="58" spans="1:28">
      <c r="A58" s="4">
        <v>1834</v>
      </c>
      <c r="B58" s="75">
        <f t="shared" si="7"/>
        <v>147.79780960404381</v>
      </c>
      <c r="C58" s="75">
        <f t="shared" si="2"/>
        <v>91.079612203331479</v>
      </c>
      <c r="D58" s="75">
        <f t="shared" si="4"/>
        <v>122.54787205557214</v>
      </c>
      <c r="E58" s="75"/>
      <c r="F58" s="75"/>
      <c r="G58" s="75">
        <v>70.406453584828441</v>
      </c>
      <c r="H58" s="75"/>
      <c r="I58" s="75"/>
      <c r="J58" s="75"/>
      <c r="K58" s="75"/>
      <c r="N58" s="85">
        <v>4.6399999999999997</v>
      </c>
      <c r="O58" s="85">
        <v>39.39</v>
      </c>
      <c r="P58" s="85">
        <v>48.15</v>
      </c>
      <c r="Q58" s="85"/>
      <c r="V58" s="86">
        <v>143.80000000000001</v>
      </c>
      <c r="Y58" s="88">
        <v>86.778111010977</v>
      </c>
      <c r="AA58">
        <v>122</v>
      </c>
      <c r="AB58"/>
    </row>
    <row r="59" spans="1:28">
      <c r="A59" s="4">
        <v>1835</v>
      </c>
      <c r="B59" s="75">
        <f t="shared" si="7"/>
        <v>158.28138163437237</v>
      </c>
      <c r="C59" s="75">
        <f t="shared" si="2"/>
        <v>102.77926489714105</v>
      </c>
      <c r="D59" s="75">
        <f t="shared" si="4"/>
        <v>123.9244247575477</v>
      </c>
      <c r="E59" s="75"/>
      <c r="F59" s="75"/>
      <c r="G59" s="75">
        <v>61.365858183712987</v>
      </c>
      <c r="H59" s="75"/>
      <c r="I59" s="75"/>
      <c r="J59" s="75"/>
      <c r="K59" s="75"/>
      <c r="N59" s="85">
        <v>4.8499999999999996</v>
      </c>
      <c r="O59" s="85">
        <v>39.19</v>
      </c>
      <c r="P59" s="85">
        <v>47.94</v>
      </c>
      <c r="Q59" s="85"/>
      <c r="V59" s="86">
        <v>154</v>
      </c>
      <c r="Y59" s="88">
        <v>102.35717346019179</v>
      </c>
      <c r="AA59">
        <v>124</v>
      </c>
      <c r="AB59"/>
    </row>
    <row r="60" spans="1:28">
      <c r="A60" s="4">
        <v>1836</v>
      </c>
      <c r="B60" s="75">
        <f t="shared" si="7"/>
        <v>164.03706823925864</v>
      </c>
      <c r="C60" s="75">
        <f t="shared" si="2"/>
        <v>107.28509957997416</v>
      </c>
      <c r="D60" s="75">
        <f t="shared" si="4"/>
        <v>134.15753087553139</v>
      </c>
      <c r="E60" s="75"/>
      <c r="F60" s="75"/>
      <c r="G60" s="75">
        <v>68.453892408638822</v>
      </c>
      <c r="H60" s="75"/>
      <c r="I60" s="75"/>
      <c r="J60" s="75"/>
      <c r="K60" s="75"/>
      <c r="N60" s="85">
        <v>4.82</v>
      </c>
      <c r="O60" s="85">
        <v>39.26</v>
      </c>
      <c r="P60" s="85">
        <v>47.77</v>
      </c>
      <c r="Q60" s="85"/>
      <c r="V60" s="86">
        <v>159.6</v>
      </c>
      <c r="Y60" s="88">
        <v>106.18360985122699</v>
      </c>
      <c r="AA60">
        <v>134</v>
      </c>
      <c r="AB60"/>
    </row>
    <row r="61" spans="1:28">
      <c r="A61" s="4">
        <v>1837</v>
      </c>
      <c r="B61" s="75">
        <f t="shared" si="7"/>
        <v>152.01179443976412</v>
      </c>
      <c r="C61" s="75">
        <f t="shared" si="2"/>
        <v>93.043230706971002</v>
      </c>
      <c r="D61" s="75">
        <f t="shared" si="4"/>
        <v>122.95640066405026</v>
      </c>
      <c r="E61" s="75"/>
      <c r="F61" s="75"/>
      <c r="G61" s="75">
        <v>62.790413629787679</v>
      </c>
      <c r="H61" s="75"/>
      <c r="I61" s="75"/>
      <c r="J61" s="75"/>
      <c r="K61" s="75"/>
      <c r="N61" s="85">
        <v>5.0999999999999996</v>
      </c>
      <c r="O61" s="85">
        <v>39.200000000000003</v>
      </c>
      <c r="P61" s="85">
        <v>47.77</v>
      </c>
      <c r="Q61" s="85"/>
      <c r="V61" s="86">
        <v>147.9</v>
      </c>
      <c r="Y61" s="88">
        <v>97.437469528860788</v>
      </c>
      <c r="AA61">
        <v>123</v>
      </c>
      <c r="AB61"/>
    </row>
    <row r="62" spans="1:28">
      <c r="A62" s="4">
        <v>1838</v>
      </c>
      <c r="B62" s="75">
        <f t="shared" si="7"/>
        <v>144.7144060657119</v>
      </c>
      <c r="C62" s="75">
        <f t="shared" si="2"/>
        <v>78.869667378804238</v>
      </c>
      <c r="D62" s="75">
        <f t="shared" si="4"/>
        <v>120.98796600185138</v>
      </c>
      <c r="E62" s="75"/>
      <c r="F62" s="75"/>
      <c r="G62" s="75">
        <v>48.339734273815353</v>
      </c>
      <c r="H62" s="75"/>
      <c r="I62" s="75"/>
      <c r="J62" s="75"/>
      <c r="K62" s="75"/>
      <c r="N62" s="85">
        <v>4.8899999999999997</v>
      </c>
      <c r="O62" s="85">
        <v>39.21</v>
      </c>
      <c r="P62" s="85">
        <v>48.09</v>
      </c>
      <c r="Q62" s="85"/>
      <c r="V62" s="86">
        <v>140.80000000000001</v>
      </c>
      <c r="Y62" s="88">
        <v>79.193567450175081</v>
      </c>
      <c r="AA62">
        <v>121</v>
      </c>
      <c r="AB62"/>
    </row>
    <row r="63" spans="1:28">
      <c r="A63" s="4">
        <v>1839</v>
      </c>
      <c r="B63" s="75">
        <f t="shared" si="7"/>
        <v>143.37826453243471</v>
      </c>
      <c r="C63" s="75">
        <f t="shared" si="2"/>
        <v>104.17228845649862</v>
      </c>
      <c r="D63" s="75">
        <f t="shared" si="4"/>
        <v>119.04146233860953</v>
      </c>
      <c r="E63" s="75"/>
      <c r="F63" s="75"/>
      <c r="G63" s="75">
        <v>53.991373755276499</v>
      </c>
      <c r="H63" s="75"/>
      <c r="I63" s="75"/>
      <c r="J63" s="75"/>
      <c r="K63" s="75"/>
      <c r="N63" s="85">
        <v>4.9800000000000004</v>
      </c>
      <c r="O63" s="85">
        <v>39.56</v>
      </c>
      <c r="P63" s="85">
        <v>48.44</v>
      </c>
      <c r="Q63" s="85"/>
      <c r="V63" s="86">
        <v>139.5</v>
      </c>
      <c r="Y63" s="88">
        <v>106.52525595756943</v>
      </c>
      <c r="AA63">
        <v>118</v>
      </c>
      <c r="AB63"/>
    </row>
    <row r="64" spans="1:28">
      <c r="A64" s="4">
        <v>1840</v>
      </c>
      <c r="B64" s="75">
        <f t="shared" si="7"/>
        <v>131.35299073294019</v>
      </c>
      <c r="C64" s="75">
        <f t="shared" si="2"/>
        <v>66.353003530958688</v>
      </c>
      <c r="D64" s="75">
        <f t="shared" si="4"/>
        <v>119.04146233860953</v>
      </c>
      <c r="E64" s="75"/>
      <c r="F64" s="75"/>
      <c r="G64" s="75">
        <v>60.93953497360782</v>
      </c>
      <c r="H64" s="75"/>
      <c r="I64" s="75"/>
      <c r="J64" s="75"/>
      <c r="K64" s="75"/>
      <c r="N64" s="85">
        <v>5</v>
      </c>
      <c r="O64" s="85">
        <v>39.56</v>
      </c>
      <c r="P64" s="85">
        <v>48.76</v>
      </c>
      <c r="Q64" s="85"/>
      <c r="V64" s="86">
        <v>127.8</v>
      </c>
      <c r="Y64" s="88">
        <v>68.12423360468037</v>
      </c>
      <c r="AA64">
        <v>118</v>
      </c>
      <c r="AB64"/>
    </row>
    <row r="65" spans="1:28">
      <c r="A65" s="4">
        <v>1841</v>
      </c>
      <c r="B65" s="75">
        <f t="shared" si="7"/>
        <v>131.35299073294019</v>
      </c>
      <c r="C65" s="75">
        <f t="shared" si="2"/>
        <v>73.488009008102949</v>
      </c>
      <c r="D65" s="75">
        <f t="shared" si="4"/>
        <v>117.37623648757203</v>
      </c>
      <c r="E65" s="75"/>
      <c r="F65" s="75"/>
      <c r="G65" s="75">
        <v>57.529006923711471</v>
      </c>
      <c r="H65" s="75"/>
      <c r="I65" s="75"/>
      <c r="J65" s="75"/>
      <c r="K65" s="75"/>
      <c r="N65" s="85">
        <v>4.99</v>
      </c>
      <c r="O65" s="85">
        <v>39.340000000000003</v>
      </c>
      <c r="P65" s="85">
        <v>49.83</v>
      </c>
      <c r="Q65" s="85"/>
      <c r="V65" s="86">
        <v>127.8</v>
      </c>
      <c r="Y65" s="88">
        <v>75.298801837871395</v>
      </c>
      <c r="AA65">
        <v>117</v>
      </c>
      <c r="AB65"/>
    </row>
    <row r="66" spans="1:28">
      <c r="A66" s="4">
        <v>1842</v>
      </c>
      <c r="B66" s="75">
        <f t="shared" si="7"/>
        <v>123.95282224094355</v>
      </c>
      <c r="C66" s="75">
        <f t="shared" si="2"/>
        <v>65.027496355774886</v>
      </c>
      <c r="D66" s="75">
        <f t="shared" si="4"/>
        <v>112.81586376259438</v>
      </c>
      <c r="E66" s="75"/>
      <c r="F66" s="75"/>
      <c r="G66" s="75">
        <v>51.753911065804495</v>
      </c>
      <c r="H66" s="75"/>
      <c r="I66" s="75"/>
      <c r="J66" s="75"/>
      <c r="K66" s="75"/>
      <c r="N66" s="85">
        <v>4.8</v>
      </c>
      <c r="O66" s="85">
        <v>39.15</v>
      </c>
      <c r="P66" s="85">
        <v>48.09</v>
      </c>
      <c r="Q66" s="85"/>
      <c r="V66" s="86">
        <v>120.6</v>
      </c>
      <c r="Y66" s="88">
        <v>64.092809549839714</v>
      </c>
      <c r="AA66">
        <v>113</v>
      </c>
      <c r="AB66"/>
    </row>
    <row r="67" spans="1:28">
      <c r="A67" s="4">
        <v>1843</v>
      </c>
      <c r="B67" s="75">
        <f t="shared" si="7"/>
        <v>116.14153327716933</v>
      </c>
      <c r="C67" s="75">
        <f t="shared" si="2"/>
        <v>52.658577691808929</v>
      </c>
      <c r="D67" s="75">
        <f t="shared" si="4"/>
        <v>115.36725497846427</v>
      </c>
      <c r="E67" s="75"/>
      <c r="F67" s="75"/>
      <c r="G67" s="75">
        <v>44.784864991854555</v>
      </c>
      <c r="H67" s="75"/>
      <c r="I67" s="75"/>
      <c r="J67" s="75"/>
      <c r="K67" s="75"/>
      <c r="N67" s="85">
        <v>4.79</v>
      </c>
      <c r="O67" s="85">
        <v>39</v>
      </c>
      <c r="P67" s="85">
        <v>47.77</v>
      </c>
      <c r="Q67" s="85"/>
      <c r="V67" s="86">
        <v>113</v>
      </c>
      <c r="Y67" s="88">
        <v>51.793549721512264</v>
      </c>
      <c r="AA67">
        <v>116</v>
      </c>
      <c r="AB67"/>
    </row>
    <row r="68" spans="1:28">
      <c r="A68" s="4">
        <v>1844</v>
      </c>
      <c r="B68" s="75">
        <f t="shared" si="7"/>
        <v>116.65543386689131</v>
      </c>
      <c r="C68" s="75">
        <f t="shared" si="2"/>
        <v>61.075076205587088</v>
      </c>
      <c r="D68" s="75">
        <f t="shared" si="4"/>
        <v>123.76631755576466</v>
      </c>
      <c r="E68" s="75"/>
      <c r="F68" s="75"/>
      <c r="G68" s="75">
        <v>41.301097093132874</v>
      </c>
      <c r="H68" s="75"/>
      <c r="I68" s="75"/>
      <c r="J68" s="75"/>
      <c r="K68" s="75"/>
      <c r="N68" s="85">
        <v>4.8600000000000003</v>
      </c>
      <c r="O68" s="85">
        <v>39.14</v>
      </c>
      <c r="P68" s="85">
        <v>47.98</v>
      </c>
      <c r="Q68" s="85"/>
      <c r="V68" s="86">
        <v>113.5</v>
      </c>
      <c r="Y68" s="88">
        <v>60.949665371489367</v>
      </c>
      <c r="AA68">
        <v>124</v>
      </c>
      <c r="AB68"/>
    </row>
    <row r="69" spans="1:28">
      <c r="A69" s="4">
        <v>1845</v>
      </c>
      <c r="B69" s="75">
        <f t="shared" si="7"/>
        <v>124.26116259477675</v>
      </c>
      <c r="C69" s="75">
        <f t="shared" si="2"/>
        <v>53.50178025322441</v>
      </c>
      <c r="D69" s="75">
        <f t="shared" si="4"/>
        <v>124.99139335796745</v>
      </c>
      <c r="E69" s="75"/>
      <c r="F69" s="75"/>
      <c r="G69" s="75">
        <v>40.420013421154785</v>
      </c>
      <c r="H69" s="75"/>
      <c r="I69" s="75"/>
      <c r="J69" s="75"/>
      <c r="K69" s="75"/>
      <c r="N69" s="85">
        <v>4.87</v>
      </c>
      <c r="O69" s="85">
        <v>38.9</v>
      </c>
      <c r="P69" s="85">
        <v>47.6</v>
      </c>
      <c r="Q69" s="85"/>
      <c r="V69" s="86">
        <v>120.9</v>
      </c>
      <c r="Y69" s="88">
        <v>53.501780253224403</v>
      </c>
      <c r="AA69">
        <v>126</v>
      </c>
      <c r="AB69"/>
    </row>
    <row r="70" spans="1:28">
      <c r="A70" s="4">
        <v>1846</v>
      </c>
      <c r="B70" s="75">
        <f t="shared" si="7"/>
        <v>114.49705139005897</v>
      </c>
      <c r="C70" s="75">
        <f t="shared" si="2"/>
        <v>64.067292413266415</v>
      </c>
      <c r="D70" s="75">
        <f t="shared" si="4"/>
        <v>128.09896490785152</v>
      </c>
      <c r="E70" s="75"/>
      <c r="F70" s="75"/>
      <c r="G70" s="75">
        <v>45.050614530984539</v>
      </c>
      <c r="H70" s="75"/>
      <c r="I70" s="75"/>
      <c r="J70" s="75"/>
      <c r="K70" s="75"/>
      <c r="N70" s="85">
        <v>4.82</v>
      </c>
      <c r="O70" s="85">
        <v>38.94</v>
      </c>
      <c r="P70" s="85">
        <v>47.67</v>
      </c>
      <c r="Q70" s="85"/>
      <c r="V70" s="86">
        <v>111.4</v>
      </c>
      <c r="Y70" s="88">
        <v>63.409517337154853</v>
      </c>
      <c r="AA70">
        <v>129</v>
      </c>
      <c r="AB70"/>
    </row>
    <row r="71" spans="1:28">
      <c r="A71" s="4">
        <v>1847</v>
      </c>
      <c r="B71" s="75">
        <f t="shared" si="7"/>
        <v>122.41112047177759</v>
      </c>
      <c r="C71" s="75">
        <f t="shared" si="2"/>
        <v>78.362632765647049</v>
      </c>
      <c r="D71" s="75">
        <f t="shared" si="4"/>
        <v>109.93295744621167</v>
      </c>
      <c r="E71" s="75"/>
      <c r="F71" s="75"/>
      <c r="G71" s="75">
        <v>40.940040072374984</v>
      </c>
      <c r="H71" s="75"/>
      <c r="I71" s="75"/>
      <c r="J71" s="75"/>
      <c r="K71" s="75"/>
      <c r="N71" s="85">
        <v>4.79</v>
      </c>
      <c r="O71" s="85">
        <v>39.19</v>
      </c>
      <c r="P71" s="85">
        <v>47.8</v>
      </c>
      <c r="Q71" s="85"/>
      <c r="V71" s="86">
        <v>119.1</v>
      </c>
      <c r="Y71" s="88">
        <v>77.075361590852026</v>
      </c>
      <c r="AA71">
        <v>110</v>
      </c>
      <c r="AB71"/>
    </row>
    <row r="72" spans="1:28">
      <c r="A72" s="4">
        <v>1848</v>
      </c>
      <c r="B72" s="75">
        <f t="shared" si="7"/>
        <v>104.3218197135636</v>
      </c>
      <c r="C72" s="75">
        <f t="shared" si="2"/>
        <v>64.434455656182138</v>
      </c>
      <c r="D72" s="75">
        <f t="shared" si="4"/>
        <v>111.96029979165554</v>
      </c>
      <c r="E72" s="75"/>
      <c r="F72" s="75"/>
      <c r="G72" s="75">
        <v>43.247570170408331</v>
      </c>
      <c r="H72" s="75"/>
      <c r="I72" s="75"/>
      <c r="J72" s="75"/>
      <c r="K72" s="75"/>
      <c r="N72" s="85">
        <v>4.87</v>
      </c>
      <c r="O72" s="85">
        <v>39.200000000000003</v>
      </c>
      <c r="P72" s="85">
        <v>47.77</v>
      </c>
      <c r="Q72" s="85"/>
      <c r="V72" s="86">
        <v>101.5</v>
      </c>
      <c r="Y72" s="88">
        <v>64.434455656182138</v>
      </c>
      <c r="AA72">
        <v>112</v>
      </c>
      <c r="AB72"/>
    </row>
    <row r="73" spans="1:28">
      <c r="A73" s="4">
        <v>1849</v>
      </c>
      <c r="B73" s="75">
        <f t="shared" si="7"/>
        <v>101.44397641112047</v>
      </c>
      <c r="C73" s="75">
        <f t="shared" si="2"/>
        <v>58.250874216273807</v>
      </c>
      <c r="D73" s="75">
        <f t="shared" si="4"/>
        <v>120.5082891525709</v>
      </c>
      <c r="E73" s="75"/>
      <c r="F73" s="75"/>
      <c r="G73" s="75">
        <v>37.077452999599494</v>
      </c>
      <c r="H73" s="75"/>
      <c r="I73" s="75"/>
      <c r="J73" s="75"/>
      <c r="K73" s="75"/>
      <c r="N73" s="85">
        <v>4.8099999999999996</v>
      </c>
      <c r="O73" s="85">
        <v>39.380000000000003</v>
      </c>
      <c r="P73" s="85">
        <v>47.84</v>
      </c>
      <c r="Q73" s="85"/>
      <c r="V73" s="86">
        <v>98.7</v>
      </c>
      <c r="Y73" s="88">
        <v>57.533204308065081</v>
      </c>
      <c r="AA73">
        <v>120</v>
      </c>
      <c r="AB73"/>
    </row>
    <row r="74" spans="1:28">
      <c r="A74" s="4">
        <v>1850</v>
      </c>
      <c r="B74" s="75">
        <f t="shared" si="7"/>
        <v>105.04128053917438</v>
      </c>
      <c r="C74" s="75">
        <f t="shared" si="2"/>
        <v>82.473370071062419</v>
      </c>
      <c r="D74" s="75">
        <f t="shared" si="4"/>
        <v>127.47316640272966</v>
      </c>
      <c r="E74" s="75"/>
      <c r="F74" s="75"/>
      <c r="G74" s="75">
        <v>49.131628609307512</v>
      </c>
      <c r="H74" s="75"/>
      <c r="I74" s="75"/>
      <c r="J74" s="75"/>
      <c r="K74" s="75"/>
      <c r="N74" s="85">
        <v>4.87</v>
      </c>
      <c r="O74" s="85">
        <v>39.36</v>
      </c>
      <c r="P74" s="85">
        <v>49.44</v>
      </c>
      <c r="Q74" s="85"/>
      <c r="V74" s="86">
        <v>102.2</v>
      </c>
      <c r="Y74" s="88">
        <v>82.473370071062405</v>
      </c>
      <c r="AA74">
        <v>127</v>
      </c>
      <c r="AB74"/>
    </row>
    <row r="75" spans="1:28">
      <c r="A75" s="4">
        <v>1851</v>
      </c>
      <c r="B75" s="75">
        <f t="shared" si="7"/>
        <v>102.16343723673126</v>
      </c>
      <c r="C75" s="75">
        <f t="shared" si="2"/>
        <v>83.834666287861452</v>
      </c>
      <c r="D75" s="75">
        <f t="shared" si="4"/>
        <v>128.2045397167841</v>
      </c>
      <c r="E75" s="75"/>
      <c r="F75" s="75"/>
      <c r="G75" s="75">
        <v>51.082424312750774</v>
      </c>
      <c r="H75" s="75"/>
      <c r="I75" s="75"/>
      <c r="J75" s="75"/>
      <c r="K75" s="75"/>
      <c r="N75" s="85">
        <v>4.91</v>
      </c>
      <c r="O75" s="85">
        <v>39.9</v>
      </c>
      <c r="P75" s="85">
        <v>48.83</v>
      </c>
      <c r="Q75" s="85"/>
      <c r="V75" s="86">
        <v>99.4</v>
      </c>
      <c r="Y75" s="88">
        <v>84.523246709116989</v>
      </c>
      <c r="AA75">
        <v>126</v>
      </c>
      <c r="AB75"/>
    </row>
    <row r="76" spans="1:28">
      <c r="A76" s="4">
        <v>1852</v>
      </c>
      <c r="B76" s="75">
        <f t="shared" si="7"/>
        <v>104.3218197135636</v>
      </c>
      <c r="C76" s="75">
        <f t="shared" si="2"/>
        <v>65.398176570848491</v>
      </c>
      <c r="D76" s="75">
        <f t="shared" si="4"/>
        <v>138.34890179247665</v>
      </c>
      <c r="E76" s="75"/>
      <c r="F76" s="75"/>
      <c r="G76" s="75">
        <v>53.429213662482269</v>
      </c>
      <c r="H76" s="75"/>
      <c r="I76" s="75"/>
      <c r="J76" s="75"/>
      <c r="K76" s="75"/>
      <c r="N76" s="85">
        <v>4.9000000000000004</v>
      </c>
      <c r="O76" s="85">
        <v>39.6</v>
      </c>
      <c r="P76" s="85">
        <v>48.44</v>
      </c>
      <c r="Q76" s="85"/>
      <c r="V76" s="86">
        <v>101.5</v>
      </c>
      <c r="Y76" s="88">
        <v>65.801040081551861</v>
      </c>
      <c r="AA76">
        <v>137</v>
      </c>
      <c r="AB76"/>
    </row>
    <row r="77" spans="1:28">
      <c r="A77" s="4">
        <v>1853</v>
      </c>
      <c r="B77" s="75">
        <f t="shared" ref="B77:B93" si="8">V77/V$94*B$94</f>
        <v>121.07497893850042</v>
      </c>
      <c r="C77" s="75">
        <f t="shared" si="2"/>
        <v>63.626522001019801</v>
      </c>
      <c r="D77" s="75">
        <f t="shared" si="4"/>
        <v>154.81449180010148</v>
      </c>
      <c r="E77" s="75"/>
      <c r="F77" s="75"/>
      <c r="G77" s="75">
        <v>50.162500468615178</v>
      </c>
      <c r="H77" s="75"/>
      <c r="I77" s="75"/>
      <c r="J77" s="75"/>
      <c r="K77" s="75"/>
      <c r="N77" s="85">
        <v>4.8899999999999997</v>
      </c>
      <c r="O77" s="85">
        <v>39.94</v>
      </c>
      <c r="P77" s="85">
        <v>49.08</v>
      </c>
      <c r="Q77" s="85"/>
      <c r="V77" s="86">
        <v>117.8</v>
      </c>
      <c r="Y77" s="88">
        <v>63.887821886034253</v>
      </c>
      <c r="AA77">
        <v>152</v>
      </c>
      <c r="AB77"/>
    </row>
    <row r="78" spans="1:28">
      <c r="A78" s="4">
        <v>1854</v>
      </c>
      <c r="B78" s="75">
        <f t="shared" si="8"/>
        <v>121.07497893850042</v>
      </c>
      <c r="C78" s="75">
        <f t="shared" ref="C78:C141" si="9">((Y78/N78)/(Y$137/N$137))*100</f>
        <v>79.576799168641983</v>
      </c>
      <c r="D78" s="75">
        <f t="shared" si="4"/>
        <v>153.98850917659303</v>
      </c>
      <c r="E78" s="75"/>
      <c r="F78" s="75"/>
      <c r="G78" s="75">
        <v>61.390536848190877</v>
      </c>
      <c r="H78" s="75"/>
      <c r="I78" s="75"/>
      <c r="J78" s="75"/>
      <c r="K78" s="75"/>
      <c r="N78" s="85">
        <v>4.88</v>
      </c>
      <c r="O78" s="85">
        <v>39.99</v>
      </c>
      <c r="P78" s="85">
        <v>49.42</v>
      </c>
      <c r="Q78" s="85"/>
      <c r="V78" s="86">
        <v>117.8</v>
      </c>
      <c r="Y78" s="88">
        <v>79.740201220322973</v>
      </c>
      <c r="AA78">
        <v>151</v>
      </c>
      <c r="AB78"/>
    </row>
    <row r="79" spans="1:28">
      <c r="A79" s="4">
        <v>1855</v>
      </c>
      <c r="B79" s="75">
        <f t="shared" si="8"/>
        <v>110.59140690817186</v>
      </c>
      <c r="C79" s="75">
        <f t="shared" si="9"/>
        <v>80.979209819479763</v>
      </c>
      <c r="D79" s="75">
        <f t="shared" si="4"/>
        <v>146.9083666761021</v>
      </c>
      <c r="E79" s="75"/>
      <c r="F79" s="75"/>
      <c r="G79" s="75">
        <v>56.719934012568288</v>
      </c>
      <c r="H79" s="75"/>
      <c r="I79" s="75"/>
      <c r="J79" s="75"/>
      <c r="K79" s="75"/>
      <c r="N79" s="85">
        <v>4.8899999999999997</v>
      </c>
      <c r="O79" s="85">
        <v>39.729999999999997</v>
      </c>
      <c r="P79" s="85">
        <v>48.91</v>
      </c>
      <c r="Q79" s="85"/>
      <c r="V79" s="86">
        <v>107.6</v>
      </c>
      <c r="Y79" s="88">
        <v>81.31177330949815</v>
      </c>
      <c r="AA79">
        <v>145</v>
      </c>
      <c r="AB79"/>
    </row>
    <row r="80" spans="1:28">
      <c r="A80" s="4">
        <v>1856</v>
      </c>
      <c r="B80" s="75">
        <f t="shared" si="8"/>
        <v>117.37489469250211</v>
      </c>
      <c r="C80" s="75">
        <f t="shared" si="9"/>
        <v>84.309074262004557</v>
      </c>
      <c r="D80" s="75">
        <f t="shared" si="4"/>
        <v>156.13086176075322</v>
      </c>
      <c r="E80" s="75"/>
      <c r="F80" s="75"/>
      <c r="G80" s="75">
        <v>64.172577424478433</v>
      </c>
      <c r="H80" s="75"/>
      <c r="I80" s="75"/>
      <c r="J80" s="75"/>
      <c r="K80" s="75"/>
      <c r="N80" s="85">
        <v>4.91</v>
      </c>
      <c r="O80" s="85">
        <v>39.5</v>
      </c>
      <c r="P80" s="85">
        <v>48.54</v>
      </c>
      <c r="Q80" s="85"/>
      <c r="V80" s="86">
        <v>114.2</v>
      </c>
      <c r="Y80" s="88">
        <v>85.001551257996383</v>
      </c>
      <c r="AA80">
        <v>155</v>
      </c>
      <c r="AB80"/>
    </row>
    <row r="81" spans="1:32">
      <c r="A81" s="4">
        <v>1857</v>
      </c>
      <c r="B81" s="75">
        <f t="shared" si="8"/>
        <v>125.28896377422072</v>
      </c>
      <c r="C81" s="75">
        <f t="shared" si="9"/>
        <v>96.562603978018331</v>
      </c>
      <c r="D81" s="75">
        <f t="shared" si="4"/>
        <v>153.4578300041567</v>
      </c>
      <c r="E81" s="75"/>
      <c r="F81" s="75"/>
      <c r="G81" s="75">
        <v>70.354464222569192</v>
      </c>
      <c r="H81" s="75"/>
      <c r="I81" s="75"/>
      <c r="J81" s="75"/>
      <c r="K81" s="75"/>
      <c r="N81" s="85">
        <v>4.8899999999999997</v>
      </c>
      <c r="O81" s="85">
        <v>39.590000000000003</v>
      </c>
      <c r="P81" s="85">
        <v>48.73</v>
      </c>
      <c r="Q81" s="85"/>
      <c r="V81" s="86">
        <v>121.9</v>
      </c>
      <c r="Y81" s="88">
        <v>96.959164979981409</v>
      </c>
      <c r="AA81">
        <v>152</v>
      </c>
      <c r="AB81"/>
    </row>
    <row r="82" spans="1:32">
      <c r="A82" s="4">
        <v>1858</v>
      </c>
      <c r="B82" s="75">
        <f t="shared" si="8"/>
        <v>112.44144903117102</v>
      </c>
      <c r="C82" s="75">
        <f t="shared" si="9"/>
        <v>87.846774407811921</v>
      </c>
      <c r="D82" s="75">
        <f t="shared" si="4"/>
        <v>144.23099972203735</v>
      </c>
      <c r="E82" s="75"/>
      <c r="F82" s="75"/>
      <c r="G82" s="75">
        <v>69.932165689218635</v>
      </c>
      <c r="H82" s="75"/>
      <c r="I82" s="75"/>
      <c r="J82" s="75"/>
      <c r="K82" s="75"/>
      <c r="N82" s="85">
        <v>4.8600000000000003</v>
      </c>
      <c r="O82" s="85">
        <v>39.83</v>
      </c>
      <c r="P82" s="85">
        <v>49.08</v>
      </c>
      <c r="Q82" s="85"/>
      <c r="V82" s="86">
        <v>109.4</v>
      </c>
      <c r="Y82" s="88">
        <v>87.666390887467344</v>
      </c>
      <c r="AA82">
        <v>142</v>
      </c>
      <c r="AB82"/>
    </row>
    <row r="83" spans="1:32">
      <c r="A83" s="4">
        <v>1859</v>
      </c>
      <c r="B83" s="75">
        <f t="shared" si="8"/>
        <v>115.01095197978096</v>
      </c>
      <c r="C83" s="75">
        <f t="shared" si="9"/>
        <v>85.90726205827967</v>
      </c>
      <c r="D83" s="75">
        <f t="shared" si="4"/>
        <v>151.41697204307658</v>
      </c>
      <c r="E83" s="75"/>
      <c r="F83" s="75"/>
      <c r="G83" s="75">
        <v>63.006295808566016</v>
      </c>
      <c r="H83" s="75"/>
      <c r="I83" s="75"/>
      <c r="J83" s="75"/>
      <c r="K83" s="75"/>
      <c r="N83" s="85">
        <v>4.9000000000000004</v>
      </c>
      <c r="O83" s="85">
        <v>39.85</v>
      </c>
      <c r="P83" s="85">
        <v>49.45</v>
      </c>
      <c r="Q83" s="85"/>
      <c r="V83" s="86">
        <v>111.9</v>
      </c>
      <c r="Y83" s="88">
        <v>86.436464904634576</v>
      </c>
      <c r="AA83">
        <v>149</v>
      </c>
      <c r="AB83"/>
    </row>
    <row r="84" spans="1:32">
      <c r="A84" s="4">
        <v>1860</v>
      </c>
      <c r="B84" s="75">
        <f t="shared" si="8"/>
        <v>112.64700926705981</v>
      </c>
      <c r="C84" s="75">
        <f t="shared" si="9"/>
        <v>82.195967521211585</v>
      </c>
      <c r="D84" s="75">
        <f t="shared" si="4"/>
        <v>148.18214969691869</v>
      </c>
      <c r="E84" s="75"/>
      <c r="F84" s="75"/>
      <c r="G84" s="75">
        <v>77.992733130413711</v>
      </c>
      <c r="H84" s="75"/>
      <c r="I84" s="75"/>
      <c r="J84" s="75"/>
      <c r="K84" s="75"/>
      <c r="N84" s="85">
        <v>4.8499999999999996</v>
      </c>
      <c r="O84" s="85">
        <v>39.799999999999997</v>
      </c>
      <c r="P84" s="85">
        <v>49.38</v>
      </c>
      <c r="Q84" s="85"/>
      <c r="V84" s="86">
        <v>109.6</v>
      </c>
      <c r="Y84" s="88">
        <v>81.858407079646028</v>
      </c>
      <c r="AA84">
        <v>146</v>
      </c>
      <c r="AB84"/>
    </row>
    <row r="85" spans="1:32">
      <c r="A85" s="4">
        <v>1861</v>
      </c>
      <c r="B85" s="75">
        <f t="shared" si="8"/>
        <v>113.1609098567818</v>
      </c>
      <c r="C85" s="75">
        <f t="shared" si="9"/>
        <v>82.738771080313938</v>
      </c>
      <c r="D85" s="75">
        <f t="shared" si="4"/>
        <v>138.93644855523169</v>
      </c>
      <c r="E85" s="75"/>
      <c r="F85" s="75"/>
      <c r="G85" s="75">
        <v>74.758841192570998</v>
      </c>
      <c r="H85" s="75"/>
      <c r="I85" s="75"/>
      <c r="J85" s="75"/>
      <c r="K85" s="75"/>
      <c r="N85" s="85">
        <v>4.7699999999999996</v>
      </c>
      <c r="O85" s="85">
        <v>39.479999999999997</v>
      </c>
      <c r="P85" s="85">
        <v>48.58</v>
      </c>
      <c r="Q85" s="85"/>
      <c r="V85" s="86">
        <v>110.1</v>
      </c>
      <c r="Y85" s="88">
        <v>81.039823008849567</v>
      </c>
      <c r="AA85">
        <v>138</v>
      </c>
      <c r="AB85"/>
    </row>
    <row r="86" spans="1:32">
      <c r="A86" s="4">
        <v>1862</v>
      </c>
      <c r="B86" s="75">
        <f t="shared" si="8"/>
        <v>134.74473462510531</v>
      </c>
      <c r="C86" s="75">
        <f t="shared" si="9"/>
        <v>73.133714267524041</v>
      </c>
      <c r="D86" s="75">
        <f t="shared" si="4"/>
        <v>140.82939977915993</v>
      </c>
      <c r="E86" s="75"/>
      <c r="F86" s="75">
        <f t="shared" ref="F86:F149" si="10">((AF86*Q86)/(AF$137*Q$137))*100</f>
        <v>126.81920482992423</v>
      </c>
      <c r="G86" s="75">
        <v>76.061185592045163</v>
      </c>
      <c r="H86" s="75"/>
      <c r="I86" s="75"/>
      <c r="J86" s="75"/>
      <c r="K86" s="75"/>
      <c r="N86" s="85">
        <v>5.56</v>
      </c>
      <c r="O86" s="85">
        <v>39.729999999999997</v>
      </c>
      <c r="P86" s="85">
        <v>48.87</v>
      </c>
      <c r="Q86" s="85">
        <v>39.119999999999997</v>
      </c>
      <c r="V86" s="86">
        <v>131.1</v>
      </c>
      <c r="Y86" s="88">
        <v>83.495575221238937</v>
      </c>
      <c r="AA86">
        <v>139</v>
      </c>
      <c r="AB86"/>
      <c r="AF86" s="58">
        <v>127</v>
      </c>
    </row>
    <row r="87" spans="1:32">
      <c r="A87" s="4">
        <v>1863</v>
      </c>
      <c r="B87" s="75">
        <f t="shared" si="8"/>
        <v>148.82561078348778</v>
      </c>
      <c r="C87" s="75">
        <f t="shared" si="9"/>
        <v>48.423641317934099</v>
      </c>
      <c r="D87" s="75">
        <f t="shared" si="4"/>
        <v>141.48554466655958</v>
      </c>
      <c r="E87" s="75"/>
      <c r="F87" s="75">
        <f t="shared" si="10"/>
        <v>122.80973673267943</v>
      </c>
      <c r="G87" s="75">
        <v>85.46203557238907</v>
      </c>
      <c r="H87" s="75"/>
      <c r="I87" s="75"/>
      <c r="J87" s="75"/>
      <c r="K87" s="75"/>
      <c r="N87" s="85">
        <v>7.08</v>
      </c>
      <c r="O87" s="85">
        <v>39.630000000000003</v>
      </c>
      <c r="P87" s="85">
        <v>48.87</v>
      </c>
      <c r="Q87" s="85">
        <v>39.020000000000003</v>
      </c>
      <c r="V87" s="86">
        <v>144.80000000000001</v>
      </c>
      <c r="Y87" s="88">
        <v>70.398230088495566</v>
      </c>
      <c r="AA87">
        <v>140</v>
      </c>
      <c r="AB87"/>
      <c r="AF87" s="58">
        <v>123.3</v>
      </c>
    </row>
    <row r="88" spans="1:32">
      <c r="A88" s="4">
        <v>1864</v>
      </c>
      <c r="B88" s="75">
        <f t="shared" si="8"/>
        <v>157.45914069081715</v>
      </c>
      <c r="C88" s="75">
        <f t="shared" si="9"/>
        <v>35.186799336061277</v>
      </c>
      <c r="D88" s="75">
        <f t="shared" si="4"/>
        <v>140.29770056026052</v>
      </c>
      <c r="E88" s="75"/>
      <c r="F88" s="75">
        <f t="shared" si="10"/>
        <v>121.33515180429131</v>
      </c>
      <c r="G88" s="75">
        <v>96.118980367398365</v>
      </c>
      <c r="H88" s="75"/>
      <c r="I88" s="75"/>
      <c r="J88" s="75"/>
      <c r="K88" s="75"/>
      <c r="N88" s="85">
        <v>9.9700000000000006</v>
      </c>
      <c r="O88" s="85">
        <v>39.58</v>
      </c>
      <c r="P88" s="85">
        <v>48.66</v>
      </c>
      <c r="Q88" s="85">
        <v>38.74</v>
      </c>
      <c r="V88" s="86">
        <v>153.19999999999999</v>
      </c>
      <c r="Y88" s="88">
        <v>72.035398230088489</v>
      </c>
      <c r="AA88">
        <v>139</v>
      </c>
      <c r="AB88"/>
      <c r="AF88" s="58">
        <v>122.7</v>
      </c>
    </row>
    <row r="89" spans="1:32">
      <c r="A89" s="4">
        <v>1865</v>
      </c>
      <c r="B89" s="75">
        <f t="shared" si="8"/>
        <v>139.06149957877003</v>
      </c>
      <c r="C89" s="75">
        <f t="shared" si="9"/>
        <v>47.174499695041256</v>
      </c>
      <c r="D89" s="75">
        <f t="shared" si="4"/>
        <v>136.63904890867781</v>
      </c>
      <c r="E89" s="75"/>
      <c r="F89" s="75">
        <f t="shared" si="10"/>
        <v>122.73622190450885</v>
      </c>
      <c r="G89" s="75">
        <v>83.447506792669273</v>
      </c>
      <c r="H89" s="75"/>
      <c r="I89" s="75"/>
      <c r="J89" s="75"/>
      <c r="K89" s="75"/>
      <c r="N89" s="85">
        <v>7.69</v>
      </c>
      <c r="O89" s="85">
        <v>39.69</v>
      </c>
      <c r="P89" s="85">
        <v>48.58</v>
      </c>
      <c r="Q89" s="85">
        <v>39.06</v>
      </c>
      <c r="V89" s="86">
        <v>135.30000000000001</v>
      </c>
      <c r="Y89" s="88">
        <v>74.491150442477874</v>
      </c>
      <c r="AA89">
        <v>135</v>
      </c>
      <c r="AB89"/>
      <c r="AF89" s="58">
        <v>123.1</v>
      </c>
    </row>
    <row r="90" spans="1:32">
      <c r="A90" s="4">
        <v>1866</v>
      </c>
      <c r="B90" s="75">
        <f t="shared" si="8"/>
        <v>143.78938500421231</v>
      </c>
      <c r="C90" s="75">
        <f t="shared" si="9"/>
        <v>61.419980963161159</v>
      </c>
      <c r="D90" s="75">
        <f t="shared" si="4"/>
        <v>129.58670267430682</v>
      </c>
      <c r="E90" s="75"/>
      <c r="F90" s="75">
        <f t="shared" si="10"/>
        <v>115.03125528866443</v>
      </c>
      <c r="G90" s="75">
        <v>79.464283354988808</v>
      </c>
      <c r="H90" s="75"/>
      <c r="I90" s="75"/>
      <c r="J90" s="75"/>
      <c r="K90" s="75"/>
      <c r="N90" s="85">
        <v>6.88</v>
      </c>
      <c r="O90" s="85">
        <v>39.700000000000003</v>
      </c>
      <c r="P90" s="85">
        <v>48.51</v>
      </c>
      <c r="Q90" s="85">
        <v>37.46</v>
      </c>
      <c r="V90" s="86">
        <v>139.9</v>
      </c>
      <c r="Y90" s="88">
        <v>86.769911504424783</v>
      </c>
      <c r="AA90">
        <v>128</v>
      </c>
      <c r="AB90"/>
      <c r="AF90" s="58">
        <v>120.3</v>
      </c>
    </row>
    <row r="91" spans="1:32">
      <c r="A91" s="4">
        <v>1867</v>
      </c>
      <c r="B91" s="75">
        <f t="shared" si="8"/>
        <v>134.95029486099412</v>
      </c>
      <c r="C91" s="75">
        <f t="shared" si="9"/>
        <v>72.642969518190753</v>
      </c>
      <c r="D91" s="75">
        <f t="shared" si="4"/>
        <v>122.53078627731493</v>
      </c>
      <c r="E91" s="75"/>
      <c r="F91" s="75">
        <f t="shared" si="10"/>
        <v>119.19686581782567</v>
      </c>
      <c r="G91" s="75">
        <v>71.738117147040029</v>
      </c>
      <c r="H91" s="75"/>
      <c r="I91" s="75"/>
      <c r="J91" s="75"/>
      <c r="K91" s="75"/>
      <c r="N91" s="85">
        <v>6.75</v>
      </c>
      <c r="O91" s="85">
        <v>39.71</v>
      </c>
      <c r="P91" s="85">
        <v>48.54</v>
      </c>
      <c r="Q91" s="85">
        <v>36.51</v>
      </c>
      <c r="V91" s="86">
        <v>131.30000000000001</v>
      </c>
      <c r="Y91" s="88">
        <v>100.68584070796459</v>
      </c>
      <c r="AA91">
        <v>121</v>
      </c>
      <c r="AB91"/>
      <c r="AF91" s="58">
        <v>127.9</v>
      </c>
    </row>
    <row r="92" spans="1:32">
      <c r="A92" s="4">
        <v>1868</v>
      </c>
      <c r="B92" s="75">
        <f t="shared" si="8"/>
        <v>126.0084245998315</v>
      </c>
      <c r="C92" s="75">
        <f t="shared" si="9"/>
        <v>68.873722126485191</v>
      </c>
      <c r="D92" s="75">
        <f t="shared" si="4"/>
        <v>119.46274152787662</v>
      </c>
      <c r="E92" s="75"/>
      <c r="F92" s="75">
        <f t="shared" si="10"/>
        <v>116.60385998794665</v>
      </c>
      <c r="G92" s="75">
        <v>71.25035952819988</v>
      </c>
      <c r="H92" s="75"/>
      <c r="I92" s="75"/>
      <c r="J92" s="75"/>
      <c r="K92" s="75"/>
      <c r="N92" s="85">
        <v>6.83</v>
      </c>
      <c r="O92" s="85">
        <v>39.700000000000003</v>
      </c>
      <c r="P92" s="85">
        <v>48.37</v>
      </c>
      <c r="Q92" s="85">
        <v>35.659999999999997</v>
      </c>
      <c r="V92" s="86">
        <v>122.6</v>
      </c>
      <c r="Y92" s="88">
        <v>96.592920353982308</v>
      </c>
      <c r="AA92">
        <v>118</v>
      </c>
      <c r="AB92"/>
      <c r="AF92" s="58">
        <v>128.1</v>
      </c>
    </row>
    <row r="93" spans="1:32">
      <c r="A93" s="4">
        <v>1869</v>
      </c>
      <c r="B93" s="75">
        <f t="shared" si="8"/>
        <v>125.18618365627631</v>
      </c>
      <c r="C93" s="75">
        <f t="shared" si="9"/>
        <v>74.439357314541681</v>
      </c>
      <c r="D93" s="75">
        <f t="shared" si="4"/>
        <v>117.43794929859057</v>
      </c>
      <c r="E93" s="75"/>
      <c r="F93" s="75">
        <f t="shared" si="10"/>
        <v>122.46375757260166</v>
      </c>
      <c r="G93" s="75">
        <v>57.562642992694805</v>
      </c>
      <c r="H93" s="75"/>
      <c r="I93" s="75"/>
      <c r="J93" s="75"/>
      <c r="K93" s="75"/>
      <c r="N93" s="85">
        <v>6.48</v>
      </c>
      <c r="O93" s="85">
        <v>39.700000000000003</v>
      </c>
      <c r="P93" s="85">
        <v>48.15</v>
      </c>
      <c r="Q93" s="85">
        <v>37.54</v>
      </c>
      <c r="V93" s="86">
        <v>121.8</v>
      </c>
      <c r="Y93" s="88">
        <v>99.048672566371692</v>
      </c>
      <c r="AA93">
        <v>116</v>
      </c>
      <c r="AB93"/>
      <c r="AF93" s="58">
        <v>127.8</v>
      </c>
    </row>
    <row r="94" spans="1:32">
      <c r="A94" s="4">
        <v>1870</v>
      </c>
      <c r="B94" s="75">
        <f t="shared" ref="B94:B136" si="11">W94/W$137*100</f>
        <v>122</v>
      </c>
      <c r="C94" s="75">
        <f t="shared" si="9"/>
        <v>87.004211059572242</v>
      </c>
      <c r="D94" s="75">
        <f t="shared" si="4"/>
        <v>115.4131570693045</v>
      </c>
      <c r="E94" s="75"/>
      <c r="F94" s="75">
        <f t="shared" si="10"/>
        <v>122.19535187183304</v>
      </c>
      <c r="G94" s="75">
        <v>65.931896567335912</v>
      </c>
      <c r="H94" s="75"/>
      <c r="I94" s="75"/>
      <c r="J94" s="75"/>
      <c r="K94" s="75"/>
      <c r="N94" s="85">
        <v>5.59</v>
      </c>
      <c r="O94" s="85">
        <v>39.700000000000003</v>
      </c>
      <c r="P94" s="85">
        <v>48.26</v>
      </c>
      <c r="Q94" s="85">
        <v>37.369999999999997</v>
      </c>
      <c r="V94" s="86">
        <v>118.7</v>
      </c>
      <c r="W94" s="4">
        <v>122</v>
      </c>
      <c r="Y94" s="88">
        <v>99.867256637168126</v>
      </c>
      <c r="AA94">
        <v>114</v>
      </c>
      <c r="AB94"/>
      <c r="AF94" s="58">
        <v>128.1</v>
      </c>
    </row>
    <row r="95" spans="1:32">
      <c r="A95" s="4">
        <v>1871</v>
      </c>
      <c r="B95" s="75">
        <f t="shared" si="11"/>
        <v>122</v>
      </c>
      <c r="C95" s="75">
        <f t="shared" si="9"/>
        <v>89.805868909851213</v>
      </c>
      <c r="D95" s="75">
        <f t="shared" si="4"/>
        <v>114.72462570670092</v>
      </c>
      <c r="E95" s="75"/>
      <c r="F95" s="75">
        <f t="shared" si="10"/>
        <v>122.51973605113571</v>
      </c>
      <c r="G95" s="75">
        <v>65.346696474313134</v>
      </c>
      <c r="H95" s="75"/>
      <c r="I95" s="75"/>
      <c r="J95" s="75"/>
      <c r="K95" s="75"/>
      <c r="N95" s="85">
        <v>5.46</v>
      </c>
      <c r="O95" s="85">
        <v>39.119999999999997</v>
      </c>
      <c r="P95" s="85">
        <v>48.33</v>
      </c>
      <c r="Q95" s="85">
        <v>36.950000000000003</v>
      </c>
      <c r="V95" s="86">
        <v>118.3</v>
      </c>
      <c r="W95" s="4">
        <v>122</v>
      </c>
      <c r="Y95" s="88">
        <v>100.68584070796459</v>
      </c>
      <c r="AA95">
        <v>115</v>
      </c>
      <c r="AB95"/>
      <c r="AF95" s="58">
        <v>129.9</v>
      </c>
    </row>
    <row r="96" spans="1:32">
      <c r="A96" s="4">
        <v>1872</v>
      </c>
      <c r="B96" s="75">
        <f t="shared" si="11"/>
        <v>135</v>
      </c>
      <c r="C96" s="75">
        <f t="shared" si="9"/>
        <v>89.403224232170729</v>
      </c>
      <c r="D96" s="75">
        <f t="shared" si="4"/>
        <v>116.92869110187969</v>
      </c>
      <c r="E96" s="75"/>
      <c r="F96" s="75">
        <f t="shared" si="10"/>
        <v>144.47971284291287</v>
      </c>
      <c r="G96" s="75">
        <v>64.161414692671002</v>
      </c>
      <c r="H96" s="75"/>
      <c r="I96" s="75"/>
      <c r="J96" s="75"/>
      <c r="K96" s="75"/>
      <c r="N96" s="85">
        <v>5.44</v>
      </c>
      <c r="O96" s="85">
        <v>39.19</v>
      </c>
      <c r="P96" s="85">
        <v>48.26</v>
      </c>
      <c r="Q96" s="85">
        <v>35.96</v>
      </c>
      <c r="V96" s="86">
        <v>130.6</v>
      </c>
      <c r="W96" s="4">
        <v>135</v>
      </c>
      <c r="Y96" s="88">
        <v>99.867256637168126</v>
      </c>
      <c r="AA96">
        <v>117</v>
      </c>
      <c r="AB96"/>
      <c r="AF96" s="58">
        <v>157.4</v>
      </c>
    </row>
    <row r="97" spans="1:32">
      <c r="A97" s="4">
        <v>1873</v>
      </c>
      <c r="B97" s="75">
        <f t="shared" si="11"/>
        <v>140</v>
      </c>
      <c r="C97" s="75">
        <f t="shared" si="9"/>
        <v>84.758112094395287</v>
      </c>
      <c r="D97" s="75">
        <f t="shared" si="4"/>
        <v>113.24810845133995</v>
      </c>
      <c r="E97" s="75"/>
      <c r="F97" s="75">
        <f t="shared" si="10"/>
        <v>137.43535864132349</v>
      </c>
      <c r="G97" s="75">
        <v>94.209432629188612</v>
      </c>
      <c r="H97" s="75"/>
      <c r="I97" s="75"/>
      <c r="J97" s="75"/>
      <c r="K97" s="75"/>
      <c r="N97" s="85">
        <v>5.55</v>
      </c>
      <c r="O97" s="85">
        <v>39.299999999999997</v>
      </c>
      <c r="P97" s="85">
        <v>48.73</v>
      </c>
      <c r="Q97" s="85">
        <v>34.119999999999997</v>
      </c>
      <c r="V97" s="86">
        <v>135</v>
      </c>
      <c r="W97" s="4">
        <v>140</v>
      </c>
      <c r="Y97" s="88">
        <v>96.592920353982308</v>
      </c>
      <c r="AA97">
        <v>113</v>
      </c>
      <c r="AB97"/>
      <c r="AF97" s="58">
        <v>157.80000000000001</v>
      </c>
    </row>
    <row r="98" spans="1:32">
      <c r="A98" s="4">
        <v>1874</v>
      </c>
      <c r="B98" s="75">
        <f t="shared" si="11"/>
        <v>132</v>
      </c>
      <c r="C98" s="75">
        <f t="shared" si="9"/>
        <v>88.26209058550765</v>
      </c>
      <c r="D98" s="75">
        <f t="shared" ref="D98:D149" si="12">((AA98*O98)/(AA$137*O$137))*100</f>
        <v>108.16266680947319</v>
      </c>
      <c r="E98" s="75"/>
      <c r="F98" s="75">
        <f t="shared" si="10"/>
        <v>128.15176319444396</v>
      </c>
      <c r="G98" s="75">
        <v>102.40053469142438</v>
      </c>
      <c r="H98" s="75"/>
      <c r="I98" s="75"/>
      <c r="J98" s="75"/>
      <c r="K98" s="75"/>
      <c r="N98" s="85">
        <v>5.42</v>
      </c>
      <c r="O98" s="85">
        <v>39.64</v>
      </c>
      <c r="P98" s="85">
        <v>48.52</v>
      </c>
      <c r="Q98" s="85">
        <v>34.840000000000003</v>
      </c>
      <c r="V98" s="86">
        <v>127.7</v>
      </c>
      <c r="W98" s="4">
        <v>132</v>
      </c>
      <c r="Y98" s="88">
        <v>98.230088495575231</v>
      </c>
      <c r="AA98">
        <v>107</v>
      </c>
      <c r="AB98"/>
      <c r="AF98" s="58">
        <v>144.1</v>
      </c>
    </row>
    <row r="99" spans="1:32">
      <c r="A99" s="4">
        <v>1875</v>
      </c>
      <c r="B99" s="75">
        <f t="shared" si="11"/>
        <v>124</v>
      </c>
      <c r="C99" s="75">
        <f t="shared" si="9"/>
        <v>89.856808143492657</v>
      </c>
      <c r="D99" s="75">
        <f t="shared" si="12"/>
        <v>106.1677109392333</v>
      </c>
      <c r="E99" s="75"/>
      <c r="F99" s="75">
        <f t="shared" si="10"/>
        <v>121.0493118578142</v>
      </c>
      <c r="G99" s="75">
        <v>91.13551326089933</v>
      </c>
      <c r="H99" s="75"/>
      <c r="I99" s="75"/>
      <c r="J99" s="75"/>
      <c r="K99" s="75"/>
      <c r="N99" s="85">
        <v>5.59</v>
      </c>
      <c r="O99" s="85">
        <v>39.65</v>
      </c>
      <c r="P99" s="85">
        <v>48.26</v>
      </c>
      <c r="Q99" s="85">
        <v>36.200000000000003</v>
      </c>
      <c r="V99" s="86">
        <v>119.9</v>
      </c>
      <c r="W99" s="4">
        <v>124</v>
      </c>
      <c r="Y99" s="88">
        <v>103.14159292035397</v>
      </c>
      <c r="AA99">
        <v>105</v>
      </c>
      <c r="AB99"/>
      <c r="AF99" s="58">
        <v>131</v>
      </c>
    </row>
    <row r="100" spans="1:32">
      <c r="A100" s="4">
        <v>1876</v>
      </c>
      <c r="B100" s="75">
        <f t="shared" si="11"/>
        <v>113.99999999999999</v>
      </c>
      <c r="C100" s="75">
        <f t="shared" si="9"/>
        <v>83.848986056232249</v>
      </c>
      <c r="D100" s="75">
        <f t="shared" si="12"/>
        <v>105.13006867462815</v>
      </c>
      <c r="E100" s="75"/>
      <c r="F100" s="75">
        <f t="shared" si="10"/>
        <v>140.27479230146596</v>
      </c>
      <c r="G100" s="75">
        <v>98.236861205336936</v>
      </c>
      <c r="H100" s="75"/>
      <c r="I100" s="75"/>
      <c r="J100" s="75"/>
      <c r="K100" s="75"/>
      <c r="N100" s="85">
        <v>5.42</v>
      </c>
      <c r="O100" s="85">
        <v>39.64</v>
      </c>
      <c r="P100" s="85">
        <v>48.44</v>
      </c>
      <c r="Q100" s="85">
        <v>36.130000000000003</v>
      </c>
      <c r="V100" s="86">
        <v>110.3</v>
      </c>
      <c r="W100" s="4">
        <v>114</v>
      </c>
      <c r="Y100" s="88">
        <v>93.318584070796462</v>
      </c>
      <c r="AA100">
        <v>104</v>
      </c>
      <c r="AB100"/>
      <c r="AF100" s="58">
        <v>152.1</v>
      </c>
    </row>
    <row r="101" spans="1:32">
      <c r="A101" s="4">
        <v>1877</v>
      </c>
      <c r="B101" s="75">
        <f t="shared" si="11"/>
        <v>110.00000000000001</v>
      </c>
      <c r="C101" s="75">
        <f t="shared" si="9"/>
        <v>86.321946205839311</v>
      </c>
      <c r="D101" s="75">
        <f t="shared" si="12"/>
        <v>103.44648198725453</v>
      </c>
      <c r="E101" s="75"/>
      <c r="F101" s="75">
        <f t="shared" si="10"/>
        <v>124.44712637428698</v>
      </c>
      <c r="G101" s="75">
        <v>89.245285440849003</v>
      </c>
      <c r="H101" s="75"/>
      <c r="I101" s="75"/>
      <c r="J101" s="75"/>
      <c r="K101" s="75"/>
      <c r="N101" s="85">
        <v>5.08</v>
      </c>
      <c r="O101" s="85">
        <v>39.770000000000003</v>
      </c>
      <c r="P101" s="85">
        <v>48.45</v>
      </c>
      <c r="Q101" s="85">
        <v>36.06</v>
      </c>
      <c r="V101" s="86">
        <v>106.1</v>
      </c>
      <c r="W101" s="4">
        <v>110</v>
      </c>
      <c r="Y101" s="88">
        <v>90.044247787610615</v>
      </c>
      <c r="AA101">
        <v>102</v>
      </c>
      <c r="AB101"/>
      <c r="AF101" s="58">
        <v>135.19999999999999</v>
      </c>
    </row>
    <row r="102" spans="1:32">
      <c r="A102" s="4">
        <v>1878</v>
      </c>
      <c r="B102" s="75">
        <f t="shared" si="11"/>
        <v>106</v>
      </c>
      <c r="C102" s="75">
        <f t="shared" si="9"/>
        <v>87.230260419494371</v>
      </c>
      <c r="D102" s="75">
        <f t="shared" si="12"/>
        <v>98.251895373834273</v>
      </c>
      <c r="E102" s="75"/>
      <c r="F102" s="75">
        <f t="shared" si="10"/>
        <v>113.05294063141579</v>
      </c>
      <c r="G102" s="75">
        <v>81.312139787376168</v>
      </c>
      <c r="H102" s="75"/>
      <c r="I102" s="75"/>
      <c r="J102" s="75"/>
      <c r="K102" s="75"/>
      <c r="N102" s="85">
        <v>4.8899999999999997</v>
      </c>
      <c r="O102" s="85">
        <v>39.72</v>
      </c>
      <c r="P102" s="85">
        <v>48.48</v>
      </c>
      <c r="Q102" s="85">
        <v>35.92</v>
      </c>
      <c r="V102" s="86">
        <v>102.3</v>
      </c>
      <c r="W102" s="4">
        <v>106</v>
      </c>
      <c r="Y102" s="88">
        <v>87.588495575221245</v>
      </c>
      <c r="AA102">
        <v>97</v>
      </c>
      <c r="AB102"/>
      <c r="AF102" s="58">
        <v>123.3</v>
      </c>
    </row>
    <row r="103" spans="1:32">
      <c r="A103" s="4">
        <v>1879</v>
      </c>
      <c r="B103" s="75">
        <f t="shared" si="11"/>
        <v>99</v>
      </c>
      <c r="C103" s="75">
        <f t="shared" si="9"/>
        <v>92.881443298969074</v>
      </c>
      <c r="D103" s="75">
        <f t="shared" si="12"/>
        <v>98.964907851552638</v>
      </c>
      <c r="E103" s="75"/>
      <c r="F103" s="75">
        <f t="shared" si="10"/>
        <v>116.20550151279734</v>
      </c>
      <c r="G103" s="75">
        <v>72.969641401133231</v>
      </c>
      <c r="H103" s="75"/>
      <c r="I103" s="75"/>
      <c r="J103" s="75"/>
      <c r="K103" s="75"/>
      <c r="N103" s="85">
        <v>4.8499999999999996</v>
      </c>
      <c r="O103" s="85">
        <v>39.6</v>
      </c>
      <c r="P103" s="85">
        <v>48.52</v>
      </c>
      <c r="Q103" s="85">
        <v>35.4</v>
      </c>
      <c r="V103" s="86">
        <v>96.5</v>
      </c>
      <c r="W103" s="4">
        <v>99</v>
      </c>
      <c r="Y103" s="88">
        <v>92.5</v>
      </c>
      <c r="AA103">
        <v>98</v>
      </c>
      <c r="AB103"/>
      <c r="AF103" s="58">
        <v>128.6</v>
      </c>
    </row>
    <row r="104" spans="1:32">
      <c r="A104" s="4">
        <v>1880</v>
      </c>
      <c r="B104" s="75">
        <f t="shared" si="11"/>
        <v>103</v>
      </c>
      <c r="C104" s="75">
        <f t="shared" si="9"/>
        <v>102.12913223140498</v>
      </c>
      <c r="D104" s="75">
        <f t="shared" si="12"/>
        <v>100.85709404063354</v>
      </c>
      <c r="E104" s="75">
        <v>135.27919408215249</v>
      </c>
      <c r="F104" s="75">
        <f t="shared" si="10"/>
        <v>112.24312885234933</v>
      </c>
      <c r="G104" s="75">
        <v>95.835415117859355</v>
      </c>
      <c r="H104" s="75"/>
      <c r="I104" s="75"/>
      <c r="J104" s="75"/>
      <c r="K104" s="75"/>
      <c r="N104" s="85">
        <v>4.84</v>
      </c>
      <c r="O104" s="85">
        <v>39.549999999999997</v>
      </c>
      <c r="P104" s="85">
        <v>48.47</v>
      </c>
      <c r="Q104" s="85">
        <v>35.49</v>
      </c>
      <c r="V104" s="86">
        <v>100</v>
      </c>
      <c r="W104" s="4">
        <v>103</v>
      </c>
      <c r="Y104" s="88">
        <v>101.5</v>
      </c>
      <c r="AA104">
        <v>100</v>
      </c>
      <c r="AB104"/>
      <c r="AD104" s="91">
        <v>128.9</v>
      </c>
      <c r="AF104" s="58">
        <v>123.9</v>
      </c>
    </row>
    <row r="105" spans="1:32">
      <c r="A105" s="4">
        <v>1881</v>
      </c>
      <c r="B105" s="75">
        <f t="shared" si="11"/>
        <v>99</v>
      </c>
      <c r="C105" s="75">
        <f t="shared" si="9"/>
        <v>104.65962732919255</v>
      </c>
      <c r="D105" s="75">
        <f t="shared" si="12"/>
        <v>99.848523100227212</v>
      </c>
      <c r="E105" s="75">
        <v>136.5428469724383</v>
      </c>
      <c r="F105" s="75">
        <f t="shared" si="10"/>
        <v>114.30299902209966</v>
      </c>
      <c r="G105" s="75">
        <v>78.513315984851189</v>
      </c>
      <c r="H105" s="75"/>
      <c r="I105" s="75"/>
      <c r="J105" s="75"/>
      <c r="K105" s="75"/>
      <c r="N105" s="85">
        <v>4.83</v>
      </c>
      <c r="O105" s="85">
        <v>39.549999999999997</v>
      </c>
      <c r="P105" s="85">
        <v>48.36</v>
      </c>
      <c r="Q105" s="85">
        <v>38.47</v>
      </c>
      <c r="V105" s="86">
        <v>95.9</v>
      </c>
      <c r="W105" s="4">
        <v>99</v>
      </c>
      <c r="Y105" s="88">
        <v>103.8</v>
      </c>
      <c r="AA105">
        <v>99</v>
      </c>
      <c r="AB105"/>
      <c r="AD105" s="91">
        <v>130.4</v>
      </c>
      <c r="AF105" s="58">
        <v>116.4</v>
      </c>
    </row>
    <row r="106" spans="1:32">
      <c r="A106" s="4">
        <v>1882</v>
      </c>
      <c r="B106" s="75">
        <f t="shared" si="11"/>
        <v>101</v>
      </c>
      <c r="C106" s="75">
        <f t="shared" si="9"/>
        <v>107</v>
      </c>
      <c r="D106" s="75">
        <f t="shared" si="12"/>
        <v>99.114854681630746</v>
      </c>
      <c r="E106" s="75">
        <v>139.86466414171377</v>
      </c>
      <c r="F106" s="75">
        <f t="shared" si="10"/>
        <v>111.07324757113901</v>
      </c>
      <c r="G106" s="75">
        <v>62.718823304749328</v>
      </c>
      <c r="H106" s="75"/>
      <c r="I106" s="75"/>
      <c r="J106" s="75"/>
      <c r="K106" s="75"/>
      <c r="N106" s="85">
        <v>4.87</v>
      </c>
      <c r="O106" s="85">
        <v>39.659999999999997</v>
      </c>
      <c r="P106" s="85">
        <v>48.35</v>
      </c>
      <c r="Q106" s="85">
        <v>38.17</v>
      </c>
      <c r="V106" s="86">
        <v>94.7</v>
      </c>
      <c r="W106" s="4">
        <v>101</v>
      </c>
      <c r="Y106" s="88">
        <v>107</v>
      </c>
      <c r="AA106">
        <v>98</v>
      </c>
      <c r="AB106"/>
      <c r="AD106" s="91">
        <v>133.6</v>
      </c>
      <c r="AF106" s="58">
        <v>114</v>
      </c>
    </row>
    <row r="107" spans="1:32">
      <c r="A107" s="4">
        <v>1883</v>
      </c>
      <c r="B107" s="75">
        <f t="shared" si="11"/>
        <v>97</v>
      </c>
      <c r="C107" s="75">
        <f t="shared" si="9"/>
        <v>101.81814432989694</v>
      </c>
      <c r="D107" s="75">
        <f t="shared" si="12"/>
        <v>96.945215854582187</v>
      </c>
      <c r="E107" s="75">
        <v>135.45416673523246</v>
      </c>
      <c r="F107" s="75">
        <f t="shared" si="10"/>
        <v>109.28821564962222</v>
      </c>
      <c r="G107" s="75">
        <v>48.064886330620936</v>
      </c>
      <c r="H107" s="75"/>
      <c r="I107" s="75"/>
      <c r="J107" s="75"/>
      <c r="K107" s="75"/>
      <c r="N107" s="85">
        <v>4.8499999999999996</v>
      </c>
      <c r="O107" s="85">
        <v>39.6</v>
      </c>
      <c r="P107" s="85">
        <v>48.42</v>
      </c>
      <c r="Q107" s="85">
        <v>39.1</v>
      </c>
      <c r="V107" s="86">
        <v>91.7</v>
      </c>
      <c r="W107" s="4">
        <v>97</v>
      </c>
      <c r="Y107" s="88">
        <v>101.4</v>
      </c>
      <c r="AA107">
        <v>96</v>
      </c>
      <c r="AB107"/>
      <c r="AD107" s="91">
        <v>129.19999999999999</v>
      </c>
      <c r="AF107" s="58">
        <v>109.5</v>
      </c>
    </row>
    <row r="108" spans="1:32">
      <c r="A108" s="4">
        <v>1884</v>
      </c>
      <c r="B108" s="75">
        <f t="shared" si="11"/>
        <v>94</v>
      </c>
      <c r="C108" s="75">
        <f t="shared" si="9"/>
        <v>98.002474226804125</v>
      </c>
      <c r="D108" s="75">
        <f t="shared" si="12"/>
        <v>93.116981478506332</v>
      </c>
      <c r="E108" s="75">
        <v>125.5707343351732</v>
      </c>
      <c r="F108" s="75">
        <f t="shared" si="10"/>
        <v>104.11741747513837</v>
      </c>
      <c r="G108" s="75">
        <v>57.070669123452255</v>
      </c>
      <c r="H108" s="75"/>
      <c r="I108" s="75"/>
      <c r="J108" s="75"/>
      <c r="K108" s="75"/>
      <c r="N108" s="85">
        <v>4.8499999999999996</v>
      </c>
      <c r="O108" s="85">
        <v>39.69</v>
      </c>
      <c r="P108" s="85">
        <v>48.49</v>
      </c>
      <c r="Q108" s="85">
        <v>39.22</v>
      </c>
      <c r="V108" s="86">
        <v>88</v>
      </c>
      <c r="W108" s="4">
        <v>94</v>
      </c>
      <c r="Y108" s="88">
        <v>97.6</v>
      </c>
      <c r="AA108">
        <v>92</v>
      </c>
      <c r="AB108"/>
      <c r="AD108" s="91">
        <v>119.6</v>
      </c>
      <c r="AF108" s="58">
        <v>104</v>
      </c>
    </row>
    <row r="109" spans="1:32">
      <c r="A109" s="4">
        <v>1885</v>
      </c>
      <c r="B109" s="75">
        <f t="shared" si="11"/>
        <v>90</v>
      </c>
      <c r="C109" s="75">
        <f t="shared" si="9"/>
        <v>91.187242798353907</v>
      </c>
      <c r="D109" s="75">
        <f t="shared" si="12"/>
        <v>89.808205763772548</v>
      </c>
      <c r="E109" s="75">
        <v>114.85119637903394</v>
      </c>
      <c r="F109" s="75">
        <f t="shared" si="10"/>
        <v>101.31379676774704</v>
      </c>
      <c r="G109" s="75">
        <v>53.271604614315358</v>
      </c>
      <c r="H109" s="75"/>
      <c r="I109" s="75"/>
      <c r="J109" s="75"/>
      <c r="K109" s="75"/>
      <c r="N109" s="85">
        <v>4.8600000000000003</v>
      </c>
      <c r="O109" s="85">
        <v>39.57</v>
      </c>
      <c r="P109" s="85">
        <v>48.53</v>
      </c>
      <c r="Q109" s="85">
        <v>39.770000000000003</v>
      </c>
      <c r="V109" s="86">
        <v>84</v>
      </c>
      <c r="W109" s="4">
        <v>90</v>
      </c>
      <c r="Y109" s="88">
        <v>91</v>
      </c>
      <c r="AA109">
        <v>89</v>
      </c>
      <c r="AB109"/>
      <c r="AD109" s="91">
        <v>109.3</v>
      </c>
      <c r="AF109" s="58">
        <v>99.8</v>
      </c>
    </row>
    <row r="110" spans="1:32">
      <c r="A110" s="4">
        <v>1886</v>
      </c>
      <c r="B110" s="75">
        <f t="shared" si="11"/>
        <v>86</v>
      </c>
      <c r="C110" s="75">
        <f t="shared" si="9"/>
        <v>85.876337448559667</v>
      </c>
      <c r="D110" s="75">
        <f t="shared" si="12"/>
        <v>87.87878787878789</v>
      </c>
      <c r="E110" s="75">
        <v>110.71096362491546</v>
      </c>
      <c r="F110" s="75">
        <f t="shared" si="10"/>
        <v>99.332955038280062</v>
      </c>
      <c r="G110" s="75">
        <v>48.297518025217407</v>
      </c>
      <c r="H110" s="75"/>
      <c r="I110" s="75"/>
      <c r="J110" s="75"/>
      <c r="K110" s="75"/>
      <c r="N110" s="85">
        <v>4.8600000000000003</v>
      </c>
      <c r="O110" s="85">
        <v>39.61</v>
      </c>
      <c r="P110" s="85">
        <v>48.65</v>
      </c>
      <c r="Q110" s="85">
        <v>39.11</v>
      </c>
      <c r="V110" s="86">
        <v>79.400000000000006</v>
      </c>
      <c r="W110" s="4">
        <v>86</v>
      </c>
      <c r="Y110" s="88">
        <v>85.7</v>
      </c>
      <c r="AA110">
        <v>87</v>
      </c>
      <c r="AB110"/>
      <c r="AD110" s="91">
        <v>105.1</v>
      </c>
      <c r="AF110" s="58">
        <v>99.5</v>
      </c>
    </row>
    <row r="111" spans="1:32">
      <c r="A111" s="4">
        <v>1887</v>
      </c>
      <c r="B111" s="75">
        <f t="shared" si="11"/>
        <v>86</v>
      </c>
      <c r="C111" s="75">
        <f t="shared" si="9"/>
        <v>85.852577319587638</v>
      </c>
      <c r="D111" s="75">
        <f t="shared" si="12"/>
        <v>86.627445880159854</v>
      </c>
      <c r="E111" s="75">
        <v>111.29722269616815</v>
      </c>
      <c r="F111" s="75">
        <f t="shared" si="10"/>
        <v>93.007897483572137</v>
      </c>
      <c r="G111" s="75">
        <v>68.148414863701262</v>
      </c>
      <c r="H111" s="75"/>
      <c r="I111" s="75"/>
      <c r="J111" s="75"/>
      <c r="K111" s="75"/>
      <c r="N111" s="85">
        <v>4.8499999999999996</v>
      </c>
      <c r="O111" s="85">
        <v>39.5</v>
      </c>
      <c r="P111" s="85">
        <v>48.63</v>
      </c>
      <c r="Q111" s="85">
        <v>38.68</v>
      </c>
      <c r="V111" s="86">
        <v>78.900000000000006</v>
      </c>
      <c r="W111" s="4">
        <v>86</v>
      </c>
      <c r="Y111" s="88">
        <v>85.5</v>
      </c>
      <c r="AA111">
        <v>86</v>
      </c>
      <c r="AB111"/>
      <c r="AD111" s="91">
        <v>105.7</v>
      </c>
      <c r="AF111" s="58">
        <v>94.2</v>
      </c>
    </row>
    <row r="112" spans="1:32">
      <c r="A112" s="4">
        <v>1888</v>
      </c>
      <c r="B112" s="75">
        <f t="shared" si="11"/>
        <v>86</v>
      </c>
      <c r="C112" s="75">
        <f t="shared" si="9"/>
        <v>89.700000000000017</v>
      </c>
      <c r="D112" s="75">
        <f t="shared" si="12"/>
        <v>87.656927773060062</v>
      </c>
      <c r="E112" s="75">
        <v>113.23909219484692</v>
      </c>
      <c r="F112" s="75">
        <f t="shared" si="10"/>
        <v>87.365685473444444</v>
      </c>
      <c r="G112" s="75">
        <v>85.682602127213656</v>
      </c>
      <c r="H112" s="75"/>
      <c r="I112" s="75"/>
      <c r="J112" s="75"/>
      <c r="K112" s="75"/>
      <c r="N112" s="85">
        <v>4.87</v>
      </c>
      <c r="O112" s="85">
        <v>39.51</v>
      </c>
      <c r="P112" s="85">
        <v>48.65</v>
      </c>
      <c r="Q112" s="85">
        <v>38.630000000000003</v>
      </c>
      <c r="V112" s="86">
        <v>79.7</v>
      </c>
      <c r="W112" s="4">
        <v>86</v>
      </c>
      <c r="Y112" s="88">
        <v>89.7</v>
      </c>
      <c r="AA112">
        <v>87</v>
      </c>
      <c r="AB112"/>
      <c r="AD112" s="91">
        <v>107.5</v>
      </c>
      <c r="AF112" s="58">
        <v>88.6</v>
      </c>
    </row>
    <row r="113" spans="1:32">
      <c r="A113" s="4">
        <v>1889</v>
      </c>
      <c r="B113" s="75">
        <f t="shared" si="11"/>
        <v>87</v>
      </c>
      <c r="C113" s="75">
        <f t="shared" si="9"/>
        <v>86.000000000000014</v>
      </c>
      <c r="D113" s="75">
        <f t="shared" si="12"/>
        <v>90.886139863670792</v>
      </c>
      <c r="E113" s="75">
        <v>116.2503929901811</v>
      </c>
      <c r="F113" s="75">
        <f t="shared" si="10"/>
        <v>93.472955349697045</v>
      </c>
      <c r="G113" s="75">
        <v>87.256752051459969</v>
      </c>
      <c r="H113" s="75"/>
      <c r="I113" s="75"/>
      <c r="J113" s="75"/>
      <c r="K113" s="75"/>
      <c r="N113" s="85">
        <v>4.87</v>
      </c>
      <c r="O113" s="85">
        <v>39.6</v>
      </c>
      <c r="P113" s="85">
        <v>48.5</v>
      </c>
      <c r="Q113" s="85">
        <v>38.75</v>
      </c>
      <c r="V113" s="86">
        <v>81.599999999999994</v>
      </c>
      <c r="W113" s="4">
        <v>87</v>
      </c>
      <c r="Y113" s="88">
        <v>86</v>
      </c>
      <c r="AA113">
        <v>90</v>
      </c>
      <c r="AB113"/>
      <c r="AD113" s="91">
        <v>110.7</v>
      </c>
      <c r="AF113" s="58">
        <v>94.5</v>
      </c>
    </row>
    <row r="114" spans="1:32">
      <c r="A114" s="4">
        <v>1890</v>
      </c>
      <c r="B114" s="75">
        <f t="shared" si="11"/>
        <v>91</v>
      </c>
      <c r="C114" s="75">
        <f t="shared" si="9"/>
        <v>85.17489711934158</v>
      </c>
      <c r="D114" s="75">
        <f t="shared" si="12"/>
        <v>90.886139863670792</v>
      </c>
      <c r="E114" s="75">
        <v>115.89681008895654</v>
      </c>
      <c r="F114" s="75">
        <f t="shared" si="10"/>
        <v>94.933832825749192</v>
      </c>
      <c r="G114" s="75">
        <v>85.619179839830238</v>
      </c>
      <c r="H114" s="75"/>
      <c r="I114" s="75"/>
      <c r="J114" s="75"/>
      <c r="K114" s="75"/>
      <c r="N114" s="85">
        <v>4.8600000000000003</v>
      </c>
      <c r="O114" s="85">
        <v>39.6</v>
      </c>
      <c r="P114" s="85">
        <v>48.44</v>
      </c>
      <c r="Q114" s="85">
        <v>38.619999999999997</v>
      </c>
      <c r="V114" s="86">
        <v>86.6</v>
      </c>
      <c r="W114" s="4">
        <v>91</v>
      </c>
      <c r="Y114" s="88">
        <v>85</v>
      </c>
      <c r="AA114">
        <v>90</v>
      </c>
      <c r="AB114"/>
      <c r="AD114" s="91">
        <v>110.5</v>
      </c>
      <c r="AF114" s="58">
        <v>96.3</v>
      </c>
    </row>
    <row r="115" spans="1:32">
      <c r="A115" s="4">
        <v>1891</v>
      </c>
      <c r="B115" s="75">
        <f t="shared" si="11"/>
        <v>90</v>
      </c>
      <c r="C115" s="75">
        <f t="shared" si="9"/>
        <v>88.080864197530886</v>
      </c>
      <c r="D115" s="75">
        <f t="shared" si="12"/>
        <v>89.876293865185559</v>
      </c>
      <c r="E115" s="75">
        <v>111.43902394663476</v>
      </c>
      <c r="F115" s="75">
        <f t="shared" si="10"/>
        <v>88.499804853867587</v>
      </c>
      <c r="G115" s="75">
        <v>82.151779904745652</v>
      </c>
      <c r="H115" s="75"/>
      <c r="I115" s="75"/>
      <c r="J115" s="75"/>
      <c r="K115" s="75"/>
      <c r="N115" s="85">
        <v>4.8600000000000003</v>
      </c>
      <c r="O115" s="85">
        <v>39.6</v>
      </c>
      <c r="P115" s="85">
        <v>48.6</v>
      </c>
      <c r="Q115" s="85">
        <v>38.479999999999997</v>
      </c>
      <c r="V115" s="86">
        <v>85.9</v>
      </c>
      <c r="W115" s="4">
        <v>90</v>
      </c>
      <c r="Y115" s="88">
        <v>87.9</v>
      </c>
      <c r="AA115">
        <v>89</v>
      </c>
      <c r="AB115"/>
      <c r="AD115" s="91">
        <v>105.9</v>
      </c>
      <c r="AF115" s="58">
        <v>90.1</v>
      </c>
    </row>
    <row r="116" spans="1:32">
      <c r="A116" s="4">
        <v>1892</v>
      </c>
      <c r="B116" s="75">
        <f t="shared" si="11"/>
        <v>86</v>
      </c>
      <c r="C116" s="75">
        <f t="shared" si="9"/>
        <v>81.900000000000006</v>
      </c>
      <c r="D116" s="75">
        <f t="shared" si="12"/>
        <v>87.066065859299897</v>
      </c>
      <c r="E116" s="75">
        <v>104.94126150064656</v>
      </c>
      <c r="F116" s="75">
        <f t="shared" si="10"/>
        <v>86.802224946695389</v>
      </c>
      <c r="G116" s="75">
        <v>80.76742317501791</v>
      </c>
      <c r="H116" s="75"/>
      <c r="I116" s="75"/>
      <c r="J116" s="75"/>
      <c r="K116" s="75"/>
      <c r="N116" s="85">
        <v>4.87</v>
      </c>
      <c r="O116" s="85">
        <v>39.700000000000003</v>
      </c>
      <c r="P116" s="85">
        <v>48.71</v>
      </c>
      <c r="Q116" s="85">
        <v>38.08</v>
      </c>
      <c r="V116" s="86">
        <v>81.7</v>
      </c>
      <c r="W116" s="4">
        <v>86</v>
      </c>
      <c r="Y116" s="88">
        <v>81.900000000000006</v>
      </c>
      <c r="AA116">
        <v>86</v>
      </c>
      <c r="AB116"/>
      <c r="AD116" s="91">
        <v>99.5</v>
      </c>
      <c r="AF116" s="58">
        <v>89.3</v>
      </c>
    </row>
    <row r="117" spans="1:32">
      <c r="A117" s="4">
        <v>1893</v>
      </c>
      <c r="B117" s="75">
        <f t="shared" si="11"/>
        <v>86</v>
      </c>
      <c r="C117" s="75">
        <f t="shared" si="9"/>
        <v>80.365020576131698</v>
      </c>
      <c r="D117" s="75">
        <f t="shared" si="12"/>
        <v>88.011903942224563</v>
      </c>
      <c r="E117" s="75">
        <v>103.92299471076356</v>
      </c>
      <c r="F117" s="75">
        <f t="shared" si="10"/>
        <v>81.98945419579502</v>
      </c>
      <c r="G117" s="75">
        <v>100.82004317105884</v>
      </c>
      <c r="H117" s="75"/>
      <c r="I117" s="75"/>
      <c r="J117" s="75"/>
      <c r="K117" s="75"/>
      <c r="N117" s="85">
        <v>4.8600000000000003</v>
      </c>
      <c r="O117" s="85">
        <v>39.67</v>
      </c>
      <c r="P117" s="85">
        <v>48.53</v>
      </c>
      <c r="Q117" s="85">
        <v>36.5</v>
      </c>
      <c r="V117" s="86">
        <v>80.400000000000006</v>
      </c>
      <c r="W117" s="4">
        <v>86</v>
      </c>
      <c r="Y117" s="88">
        <v>80.2</v>
      </c>
      <c r="AA117">
        <v>87</v>
      </c>
      <c r="AB117"/>
      <c r="AD117" s="91">
        <v>98.9</v>
      </c>
      <c r="AF117" s="58">
        <v>88</v>
      </c>
    </row>
    <row r="118" spans="1:32">
      <c r="A118" s="4">
        <v>1894</v>
      </c>
      <c r="B118" s="75">
        <f t="shared" si="11"/>
        <v>82</v>
      </c>
      <c r="C118" s="75">
        <f t="shared" si="9"/>
        <v>70.355532786885249</v>
      </c>
      <c r="D118" s="75">
        <f t="shared" si="12"/>
        <v>82.024741226962888</v>
      </c>
      <c r="E118" s="75">
        <v>97.307551733963621</v>
      </c>
      <c r="F118" s="75">
        <f t="shared" si="10"/>
        <v>74.380158960500339</v>
      </c>
      <c r="G118" s="75">
        <v>91.621051379257779</v>
      </c>
      <c r="H118" s="75"/>
      <c r="I118" s="75"/>
      <c r="J118" s="75"/>
      <c r="K118" s="75"/>
      <c r="N118" s="85">
        <v>4.88</v>
      </c>
      <c r="O118" s="85">
        <v>39.71</v>
      </c>
      <c r="P118" s="85">
        <v>48.69</v>
      </c>
      <c r="Q118" s="85">
        <v>35.32</v>
      </c>
      <c r="V118" s="86">
        <v>76.7</v>
      </c>
      <c r="W118" s="4">
        <v>82</v>
      </c>
      <c r="Y118" s="88">
        <v>70.5</v>
      </c>
      <c r="AA118">
        <v>81</v>
      </c>
      <c r="AB118"/>
      <c r="AD118" s="91">
        <v>92.3</v>
      </c>
      <c r="AF118" s="58">
        <v>82.5</v>
      </c>
    </row>
    <row r="119" spans="1:32">
      <c r="A119" s="4">
        <v>1895</v>
      </c>
      <c r="B119" s="75">
        <f t="shared" si="11"/>
        <v>79</v>
      </c>
      <c r="C119" s="75">
        <f t="shared" si="9"/>
        <v>71.506339468302656</v>
      </c>
      <c r="D119" s="75">
        <f t="shared" si="12"/>
        <v>79.818125715626351</v>
      </c>
      <c r="E119" s="75">
        <v>96.686865423706209</v>
      </c>
      <c r="F119" s="75">
        <f t="shared" si="10"/>
        <v>80.523241789504084</v>
      </c>
      <c r="G119" s="75">
        <v>85.229611974230764</v>
      </c>
      <c r="H119" s="75"/>
      <c r="I119" s="75"/>
      <c r="J119" s="75"/>
      <c r="K119" s="75"/>
      <c r="N119" s="85">
        <v>4.8899999999999997</v>
      </c>
      <c r="O119" s="85">
        <v>39.619999999999997</v>
      </c>
      <c r="P119" s="85">
        <v>48.59</v>
      </c>
      <c r="Q119" s="85">
        <v>37.200000000000003</v>
      </c>
      <c r="V119" s="86">
        <v>74.3</v>
      </c>
      <c r="W119" s="4">
        <v>79</v>
      </c>
      <c r="Y119" s="88">
        <v>71.8</v>
      </c>
      <c r="AA119">
        <v>79</v>
      </c>
      <c r="AB119"/>
      <c r="AD119" s="91">
        <v>91.9</v>
      </c>
      <c r="AF119" s="58">
        <v>84.8</v>
      </c>
    </row>
    <row r="120" spans="1:32">
      <c r="A120" s="4">
        <v>1896</v>
      </c>
      <c r="B120" s="75">
        <f t="shared" si="11"/>
        <v>79</v>
      </c>
      <c r="C120" s="75">
        <f t="shared" si="9"/>
        <v>71.000000000000014</v>
      </c>
      <c r="D120" s="75">
        <f t="shared" si="12"/>
        <v>78.907224224063413</v>
      </c>
      <c r="E120" s="75">
        <v>98.774130463213083</v>
      </c>
      <c r="F120" s="75">
        <f t="shared" si="10"/>
        <v>75.373528076155239</v>
      </c>
      <c r="G120" s="75">
        <v>74.436010159813819</v>
      </c>
      <c r="H120" s="75"/>
      <c r="I120" s="75"/>
      <c r="J120" s="75"/>
      <c r="K120" s="75"/>
      <c r="N120" s="85">
        <v>4.87</v>
      </c>
      <c r="O120" s="85">
        <v>39.67</v>
      </c>
      <c r="P120" s="85">
        <v>48.53</v>
      </c>
      <c r="Q120" s="85">
        <v>36.32</v>
      </c>
      <c r="V120" s="86">
        <v>75.2</v>
      </c>
      <c r="W120" s="4">
        <v>79</v>
      </c>
      <c r="Y120" s="88">
        <v>71</v>
      </c>
      <c r="AA120">
        <v>78</v>
      </c>
      <c r="AB120"/>
      <c r="AD120" s="91">
        <v>94</v>
      </c>
      <c r="AF120" s="58">
        <v>81.3</v>
      </c>
    </row>
    <row r="121" spans="1:32">
      <c r="A121" s="4">
        <v>1897</v>
      </c>
      <c r="B121" s="75">
        <f t="shared" si="11"/>
        <v>78</v>
      </c>
      <c r="C121" s="75">
        <f t="shared" si="9"/>
        <v>69.242181069958846</v>
      </c>
      <c r="D121" s="75">
        <f t="shared" si="12"/>
        <v>80.039730809738373</v>
      </c>
      <c r="E121" s="75">
        <v>98.6211999040368</v>
      </c>
      <c r="F121" s="75">
        <f t="shared" si="10"/>
        <v>74.956944049855309</v>
      </c>
      <c r="G121" s="75">
        <v>54.568803206381233</v>
      </c>
      <c r="H121" s="75"/>
      <c r="I121" s="75"/>
      <c r="J121" s="75"/>
      <c r="K121" s="75"/>
      <c r="N121" s="85">
        <v>4.8600000000000003</v>
      </c>
      <c r="O121" s="85">
        <v>39.729999999999997</v>
      </c>
      <c r="P121" s="85">
        <v>48.61</v>
      </c>
      <c r="Q121" s="85">
        <v>37.36</v>
      </c>
      <c r="V121" s="86">
        <v>74.3</v>
      </c>
      <c r="W121" s="4">
        <v>78</v>
      </c>
      <c r="Y121" s="88">
        <v>69.099999999999994</v>
      </c>
      <c r="AA121">
        <v>79</v>
      </c>
      <c r="AB121"/>
      <c r="AD121" s="91">
        <v>93.7</v>
      </c>
      <c r="AF121" s="58">
        <v>78.599999999999994</v>
      </c>
    </row>
    <row r="122" spans="1:32">
      <c r="A122" s="4">
        <v>1898</v>
      </c>
      <c r="B122" s="75">
        <f t="shared" si="11"/>
        <v>79</v>
      </c>
      <c r="C122" s="75">
        <f t="shared" si="9"/>
        <v>68.682061855670113</v>
      </c>
      <c r="D122" s="75">
        <f t="shared" si="12"/>
        <v>80.706076161769175</v>
      </c>
      <c r="E122" s="75">
        <v>98.57059835840532</v>
      </c>
      <c r="F122" s="75">
        <f t="shared" si="10"/>
        <v>73.532441098158372</v>
      </c>
      <c r="G122" s="75">
        <v>51.593908586456529</v>
      </c>
      <c r="H122" s="75"/>
      <c r="I122" s="75"/>
      <c r="J122" s="75"/>
      <c r="K122" s="75"/>
      <c r="N122" s="85">
        <v>4.8499999999999996</v>
      </c>
      <c r="O122" s="85">
        <v>39.56</v>
      </c>
      <c r="P122" s="85">
        <v>48.43</v>
      </c>
      <c r="Q122" s="85">
        <v>36.65</v>
      </c>
      <c r="V122" s="86">
        <v>74.099999999999994</v>
      </c>
      <c r="W122" s="4">
        <v>79</v>
      </c>
      <c r="Y122" s="88">
        <v>68.400000000000006</v>
      </c>
      <c r="AA122">
        <v>80</v>
      </c>
      <c r="AB122"/>
      <c r="AD122" s="91">
        <v>94</v>
      </c>
      <c r="AF122" s="58">
        <v>78.599999999999994</v>
      </c>
    </row>
    <row r="123" spans="1:32">
      <c r="A123" s="4">
        <v>1899</v>
      </c>
      <c r="B123" s="75">
        <f t="shared" si="11"/>
        <v>82</v>
      </c>
      <c r="C123" s="75">
        <f t="shared" si="9"/>
        <v>72.448765432098767</v>
      </c>
      <c r="D123" s="75">
        <f t="shared" si="12"/>
        <v>85.858585858585855</v>
      </c>
      <c r="E123" s="75">
        <v>103.45188284518829</v>
      </c>
      <c r="F123" s="75">
        <f t="shared" si="10"/>
        <v>77.997496922204732</v>
      </c>
      <c r="G123" s="75">
        <v>53.056484190666787</v>
      </c>
      <c r="H123" s="75"/>
      <c r="I123" s="75"/>
      <c r="J123" s="75"/>
      <c r="K123" s="75"/>
      <c r="N123" s="85">
        <v>4.8600000000000003</v>
      </c>
      <c r="O123" s="85">
        <v>39.61</v>
      </c>
      <c r="P123" s="85">
        <v>48.31</v>
      </c>
      <c r="Q123" s="85">
        <v>35.78</v>
      </c>
      <c r="V123" s="86">
        <v>80.099999999999994</v>
      </c>
      <c r="W123" s="4">
        <v>82</v>
      </c>
      <c r="Y123" s="88">
        <v>72.3</v>
      </c>
      <c r="AA123">
        <v>85</v>
      </c>
      <c r="AB123"/>
      <c r="AD123" s="91">
        <v>98.9</v>
      </c>
      <c r="AF123" s="58">
        <v>85.4</v>
      </c>
    </row>
    <row r="124" spans="1:32">
      <c r="A124" s="4">
        <v>1900</v>
      </c>
      <c r="B124" s="75">
        <f t="shared" si="11"/>
        <v>95</v>
      </c>
      <c r="C124" s="75">
        <f t="shared" si="9"/>
        <v>81</v>
      </c>
      <c r="D124" s="75">
        <f t="shared" si="12"/>
        <v>87.109927857213904</v>
      </c>
      <c r="E124" s="75">
        <v>106.68247865727704</v>
      </c>
      <c r="F124" s="75">
        <f t="shared" si="10"/>
        <v>79.238570167223287</v>
      </c>
      <c r="G124" s="75">
        <v>69.164725680209415</v>
      </c>
      <c r="H124" s="75"/>
      <c r="I124" s="75"/>
      <c r="J124" s="75"/>
      <c r="K124" s="75"/>
      <c r="N124" s="85">
        <v>4.87</v>
      </c>
      <c r="O124" s="85">
        <v>39.72</v>
      </c>
      <c r="P124" s="85">
        <v>48.21</v>
      </c>
      <c r="Q124" s="85">
        <v>36.78</v>
      </c>
      <c r="V124" s="86">
        <v>91.4</v>
      </c>
      <c r="W124" s="4">
        <v>95</v>
      </c>
      <c r="Y124" s="88">
        <v>81</v>
      </c>
      <c r="AA124">
        <v>86</v>
      </c>
      <c r="AB124">
        <v>54</v>
      </c>
      <c r="AD124" s="91">
        <v>102.2</v>
      </c>
      <c r="AF124" s="58">
        <v>84.4</v>
      </c>
    </row>
    <row r="125" spans="1:32">
      <c r="A125" s="4">
        <v>1901</v>
      </c>
      <c r="B125" s="75">
        <f t="shared" si="11"/>
        <v>90</v>
      </c>
      <c r="C125" s="75">
        <f t="shared" si="9"/>
        <v>79.40000000000002</v>
      </c>
      <c r="D125" s="75">
        <f t="shared" si="12"/>
        <v>84.912747775661188</v>
      </c>
      <c r="E125" s="75">
        <f t="shared" ref="E125:E136" si="13">((AD125*P125)/(AD$137*P$137))*100</f>
        <v>97.785177496367027</v>
      </c>
      <c r="F125" s="75">
        <f t="shared" si="10"/>
        <v>78.599910097491403</v>
      </c>
      <c r="G125" s="75">
        <v>58.526901975005643</v>
      </c>
      <c r="H125" s="75"/>
      <c r="I125" s="75"/>
      <c r="J125" s="75"/>
      <c r="K125" s="75"/>
      <c r="N125" s="85">
        <v>4.87</v>
      </c>
      <c r="O125" s="85">
        <v>39.64</v>
      </c>
      <c r="P125" s="85">
        <v>48.46</v>
      </c>
      <c r="Q125" s="85">
        <v>37.46</v>
      </c>
      <c r="V125" s="86">
        <v>87.1</v>
      </c>
      <c r="W125" s="4">
        <v>90</v>
      </c>
      <c r="Y125" s="88">
        <v>79.400000000000006</v>
      </c>
      <c r="AA125">
        <v>84</v>
      </c>
      <c r="AB125">
        <v>51</v>
      </c>
      <c r="AD125" s="91">
        <v>97.2</v>
      </c>
      <c r="AF125" s="58">
        <v>82.2</v>
      </c>
    </row>
    <row r="126" spans="1:32">
      <c r="A126" s="4">
        <v>1902</v>
      </c>
      <c r="B126" s="75">
        <f t="shared" si="11"/>
        <v>86</v>
      </c>
      <c r="C126" s="75">
        <f t="shared" si="9"/>
        <v>81.40000000000002</v>
      </c>
      <c r="D126" s="75">
        <f t="shared" si="12"/>
        <v>85.062694605739281</v>
      </c>
      <c r="E126" s="75">
        <f t="shared" si="13"/>
        <v>95.348764791363919</v>
      </c>
      <c r="F126" s="75">
        <f t="shared" si="10"/>
        <v>81.758980104283864</v>
      </c>
      <c r="G126" s="75">
        <v>53.151060356377535</v>
      </c>
      <c r="H126" s="75"/>
      <c r="I126" s="75"/>
      <c r="J126" s="75"/>
      <c r="K126" s="75"/>
      <c r="N126" s="85">
        <v>4.87</v>
      </c>
      <c r="O126" s="85">
        <v>39.71</v>
      </c>
      <c r="P126" s="85">
        <v>48.5</v>
      </c>
      <c r="Q126" s="85">
        <v>38.729999999999997</v>
      </c>
      <c r="V126" s="86">
        <v>83</v>
      </c>
      <c r="W126" s="4">
        <v>86</v>
      </c>
      <c r="Y126" s="88">
        <v>81.400000000000006</v>
      </c>
      <c r="AA126">
        <v>84</v>
      </c>
      <c r="AB126">
        <v>51</v>
      </c>
      <c r="AD126" s="91">
        <v>94.7</v>
      </c>
      <c r="AF126" s="58">
        <v>82.7</v>
      </c>
    </row>
    <row r="127" spans="1:32">
      <c r="A127" s="4">
        <v>1903</v>
      </c>
      <c r="B127" s="75">
        <f t="shared" si="11"/>
        <v>86</v>
      </c>
      <c r="C127" s="75">
        <f t="shared" si="9"/>
        <v>86.778189300411512</v>
      </c>
      <c r="D127" s="75">
        <f t="shared" si="12"/>
        <v>86.097021719339324</v>
      </c>
      <c r="E127" s="75">
        <f t="shared" si="13"/>
        <v>95.552210919659544</v>
      </c>
      <c r="F127" s="75">
        <f t="shared" si="10"/>
        <v>85.618355427347055</v>
      </c>
      <c r="G127" s="75">
        <v>55.781639417208993</v>
      </c>
      <c r="H127" s="75"/>
      <c r="I127" s="75"/>
      <c r="J127" s="75"/>
      <c r="K127" s="75"/>
      <c r="N127" s="85">
        <v>4.8600000000000003</v>
      </c>
      <c r="O127" s="85">
        <v>39.72</v>
      </c>
      <c r="P127" s="85">
        <v>48.45</v>
      </c>
      <c r="Q127" s="85">
        <v>39.229999999999997</v>
      </c>
      <c r="V127" s="86">
        <v>82.9</v>
      </c>
      <c r="W127" s="4">
        <v>86</v>
      </c>
      <c r="Y127" s="88">
        <v>86.6</v>
      </c>
      <c r="AA127">
        <v>85</v>
      </c>
      <c r="AB127">
        <v>52</v>
      </c>
      <c r="AD127" s="91">
        <v>95</v>
      </c>
      <c r="AF127" s="58">
        <v>85.5</v>
      </c>
    </row>
    <row r="128" spans="1:32">
      <c r="A128" s="4">
        <v>1904</v>
      </c>
      <c r="B128" s="75">
        <f t="shared" si="11"/>
        <v>87</v>
      </c>
      <c r="C128" s="75">
        <f t="shared" si="9"/>
        <v>86.9</v>
      </c>
      <c r="D128" s="75">
        <f t="shared" si="12"/>
        <v>85.062694605739281</v>
      </c>
      <c r="E128" s="75">
        <f t="shared" si="13"/>
        <v>97.040398588333005</v>
      </c>
      <c r="F128" s="75">
        <f t="shared" si="10"/>
        <v>84.152015391146122</v>
      </c>
      <c r="G128" s="75">
        <v>70.544894630179883</v>
      </c>
      <c r="H128" s="75"/>
      <c r="I128" s="75"/>
      <c r="J128" s="75"/>
      <c r="K128" s="75"/>
      <c r="N128" s="85">
        <v>4.87</v>
      </c>
      <c r="O128" s="85">
        <v>39.71</v>
      </c>
      <c r="P128" s="85">
        <v>48.49</v>
      </c>
      <c r="Q128" s="85">
        <v>39.200000000000003</v>
      </c>
      <c r="V128" s="86">
        <v>83.9</v>
      </c>
      <c r="W128" s="4">
        <v>87</v>
      </c>
      <c r="Y128" s="88">
        <v>86.9</v>
      </c>
      <c r="AA128">
        <v>84</v>
      </c>
      <c r="AB128">
        <v>52</v>
      </c>
      <c r="AD128" s="91">
        <v>96.4</v>
      </c>
      <c r="AF128" s="58">
        <v>84.1</v>
      </c>
    </row>
    <row r="129" spans="1:32">
      <c r="A129" s="4">
        <v>1905</v>
      </c>
      <c r="B129" s="75">
        <f t="shared" si="11"/>
        <v>87</v>
      </c>
      <c r="C129" s="75">
        <f t="shared" si="9"/>
        <v>83.7</v>
      </c>
      <c r="D129" s="75">
        <f t="shared" si="12"/>
        <v>87.131858856170894</v>
      </c>
      <c r="E129" s="75">
        <f t="shared" si="13"/>
        <v>98.187585634212155</v>
      </c>
      <c r="F129" s="75">
        <f t="shared" si="10"/>
        <v>86.316618665057518</v>
      </c>
      <c r="G129" s="75">
        <v>75.873256338207867</v>
      </c>
      <c r="H129" s="75"/>
      <c r="I129" s="75"/>
      <c r="J129" s="75"/>
      <c r="K129" s="75"/>
      <c r="N129" s="85">
        <v>4.87</v>
      </c>
      <c r="O129" s="85">
        <v>39.729999999999997</v>
      </c>
      <c r="P129" s="85">
        <v>48.46</v>
      </c>
      <c r="Q129" s="85">
        <v>39.32</v>
      </c>
      <c r="V129" s="86">
        <v>83.8</v>
      </c>
      <c r="W129" s="4">
        <v>87</v>
      </c>
      <c r="Y129" s="88">
        <v>83.7</v>
      </c>
      <c r="AA129">
        <v>86</v>
      </c>
      <c r="AB129">
        <v>53</v>
      </c>
      <c r="AD129" s="91">
        <v>97.6</v>
      </c>
      <c r="AF129" s="58">
        <v>86</v>
      </c>
    </row>
    <row r="130" spans="1:32">
      <c r="A130" s="4">
        <v>1906</v>
      </c>
      <c r="B130" s="75">
        <f t="shared" si="11"/>
        <v>92</v>
      </c>
      <c r="C130" s="75">
        <f t="shared" si="9"/>
        <v>90.270721649484557</v>
      </c>
      <c r="D130" s="75">
        <f t="shared" si="12"/>
        <v>91.18450345413234</v>
      </c>
      <c r="E130" s="75">
        <f t="shared" si="13"/>
        <v>97.201370147394655</v>
      </c>
      <c r="F130" s="75">
        <f t="shared" si="10"/>
        <v>91.025830506969001</v>
      </c>
      <c r="G130" s="75">
        <v>72.810758004804171</v>
      </c>
      <c r="H130" s="75"/>
      <c r="I130" s="75"/>
      <c r="J130" s="75"/>
      <c r="K130" s="75"/>
      <c r="N130" s="85">
        <v>4.8499999999999996</v>
      </c>
      <c r="O130" s="85">
        <v>39.729999999999997</v>
      </c>
      <c r="P130" s="85">
        <v>48.27</v>
      </c>
      <c r="Q130" s="85">
        <v>39.229999999999997</v>
      </c>
      <c r="V130" s="86">
        <v>88.7</v>
      </c>
      <c r="W130" s="4">
        <v>92</v>
      </c>
      <c r="Y130" s="88">
        <v>89.9</v>
      </c>
      <c r="AA130">
        <v>90</v>
      </c>
      <c r="AB130">
        <v>55</v>
      </c>
      <c r="AD130" s="91">
        <v>97</v>
      </c>
      <c r="AF130" s="58">
        <v>90.9</v>
      </c>
    </row>
    <row r="131" spans="1:32">
      <c r="A131" s="4">
        <v>1907</v>
      </c>
      <c r="B131" s="75">
        <f t="shared" si="11"/>
        <v>96</v>
      </c>
      <c r="C131" s="75">
        <f t="shared" si="9"/>
        <v>95.395884773662559</v>
      </c>
      <c r="D131" s="75">
        <f t="shared" si="12"/>
        <v>92.1048403754791</v>
      </c>
      <c r="E131" s="75">
        <f t="shared" si="13"/>
        <v>102.13010172306414</v>
      </c>
      <c r="F131" s="75">
        <f t="shared" si="10"/>
        <v>96.462481784021108</v>
      </c>
      <c r="G131" s="75">
        <v>72.796957574273208</v>
      </c>
      <c r="H131" s="75"/>
      <c r="I131" s="75"/>
      <c r="J131" s="75"/>
      <c r="K131" s="75"/>
      <c r="N131" s="85">
        <v>4.8600000000000003</v>
      </c>
      <c r="O131" s="85">
        <v>39.69</v>
      </c>
      <c r="P131" s="85">
        <v>48.09</v>
      </c>
      <c r="Q131" s="85">
        <v>39.119999999999997</v>
      </c>
      <c r="V131" s="86">
        <v>93.1</v>
      </c>
      <c r="W131" s="4">
        <v>96</v>
      </c>
      <c r="Y131" s="88">
        <v>95.2</v>
      </c>
      <c r="AA131">
        <v>91</v>
      </c>
      <c r="AB131">
        <v>55</v>
      </c>
      <c r="AD131" s="91">
        <v>102.3</v>
      </c>
      <c r="AF131" s="58">
        <v>96.6</v>
      </c>
    </row>
    <row r="132" spans="1:32">
      <c r="A132" s="4">
        <v>1908</v>
      </c>
      <c r="B132" s="75">
        <f t="shared" si="11"/>
        <v>93</v>
      </c>
      <c r="C132" s="75">
        <f t="shared" si="9"/>
        <v>90.100000000000009</v>
      </c>
      <c r="D132" s="75">
        <f t="shared" si="12"/>
        <v>91.299258681232942</v>
      </c>
      <c r="E132" s="75">
        <f t="shared" si="13"/>
        <v>96.880298941249748</v>
      </c>
      <c r="F132" s="75">
        <f t="shared" si="10"/>
        <v>89.327663502210697</v>
      </c>
      <c r="G132" s="75">
        <v>70.900313503015923</v>
      </c>
      <c r="H132" s="75"/>
      <c r="I132" s="75"/>
      <c r="J132" s="75"/>
      <c r="K132" s="75"/>
      <c r="N132" s="85">
        <v>4.87</v>
      </c>
      <c r="O132" s="85">
        <v>39.78</v>
      </c>
      <c r="P132" s="85">
        <v>48.41</v>
      </c>
      <c r="Q132" s="85">
        <v>39.32</v>
      </c>
      <c r="V132" s="86">
        <v>89.6</v>
      </c>
      <c r="W132" s="4">
        <v>93</v>
      </c>
      <c r="Y132" s="88">
        <v>90.1</v>
      </c>
      <c r="AA132">
        <v>90</v>
      </c>
      <c r="AB132">
        <v>52</v>
      </c>
      <c r="AD132" s="91">
        <v>96.4</v>
      </c>
      <c r="AF132" s="58">
        <v>89</v>
      </c>
    </row>
    <row r="133" spans="1:32">
      <c r="A133" s="4">
        <v>1909</v>
      </c>
      <c r="B133" s="75">
        <f t="shared" si="11"/>
        <v>89</v>
      </c>
      <c r="C133" s="75">
        <f t="shared" si="9"/>
        <v>94.300000000000011</v>
      </c>
      <c r="D133" s="75">
        <f t="shared" si="12"/>
        <v>93.187364684461372</v>
      </c>
      <c r="E133" s="75">
        <f t="shared" si="13"/>
        <v>95.611376375337329</v>
      </c>
      <c r="F133" s="75">
        <f t="shared" si="10"/>
        <v>89.9637709737422</v>
      </c>
      <c r="G133" s="75">
        <v>81.869819465755583</v>
      </c>
      <c r="H133" s="75"/>
      <c r="I133" s="75"/>
      <c r="J133" s="75"/>
      <c r="K133" s="75"/>
      <c r="N133" s="85">
        <v>4.87</v>
      </c>
      <c r="O133" s="85">
        <v>39.72</v>
      </c>
      <c r="P133" s="85">
        <v>48.48</v>
      </c>
      <c r="Q133" s="85">
        <v>39.159999999999997</v>
      </c>
      <c r="V133" s="86">
        <v>86.2</v>
      </c>
      <c r="W133" s="4">
        <v>89</v>
      </c>
      <c r="Y133" s="88">
        <v>94.3</v>
      </c>
      <c r="AA133">
        <v>92</v>
      </c>
      <c r="AB133">
        <v>55</v>
      </c>
      <c r="AD133" s="91">
        <v>95</v>
      </c>
      <c r="AF133" s="58">
        <v>90</v>
      </c>
    </row>
    <row r="134" spans="1:32">
      <c r="A134" s="4">
        <v>1910</v>
      </c>
      <c r="B134" s="75">
        <f t="shared" si="11"/>
        <v>93</v>
      </c>
      <c r="C134" s="75">
        <f t="shared" si="9"/>
        <v>102.31008230452674</v>
      </c>
      <c r="D134" s="75">
        <f t="shared" si="12"/>
        <v>97.043140315041356</v>
      </c>
      <c r="E134" s="75">
        <f t="shared" si="13"/>
        <v>95.877849283786588</v>
      </c>
      <c r="F134" s="75">
        <f t="shared" si="10"/>
        <v>96.416483964450478</v>
      </c>
      <c r="G134" s="75">
        <v>110.42757610689127</v>
      </c>
      <c r="H134" s="75"/>
      <c r="I134" s="75"/>
      <c r="J134" s="75"/>
      <c r="K134" s="75"/>
      <c r="N134" s="85">
        <v>4.8600000000000003</v>
      </c>
      <c r="O134" s="85">
        <v>39.64</v>
      </c>
      <c r="P134" s="85">
        <v>48.31</v>
      </c>
      <c r="Q134" s="85">
        <v>38.9</v>
      </c>
      <c r="V134" s="86">
        <v>89.9</v>
      </c>
      <c r="W134" s="4">
        <v>93</v>
      </c>
      <c r="Y134" s="88">
        <v>102.1</v>
      </c>
      <c r="AA134">
        <v>96</v>
      </c>
      <c r="AB134">
        <v>58</v>
      </c>
      <c r="AD134" s="91">
        <v>95.6</v>
      </c>
      <c r="AF134" s="58">
        <v>97.1</v>
      </c>
    </row>
    <row r="135" spans="1:32">
      <c r="A135" s="4">
        <v>1911</v>
      </c>
      <c r="B135" s="75">
        <f t="shared" si="11"/>
        <v>95</v>
      </c>
      <c r="C135" s="75">
        <f t="shared" si="9"/>
        <v>93.692386831275726</v>
      </c>
      <c r="D135" s="75">
        <f t="shared" si="12"/>
        <v>98.939916713206287</v>
      </c>
      <c r="E135" s="75">
        <f t="shared" si="13"/>
        <v>96.559476852812963</v>
      </c>
      <c r="F135" s="75">
        <f t="shared" si="10"/>
        <v>99.270544012281078</v>
      </c>
      <c r="G135" s="75">
        <v>114.72248020916172</v>
      </c>
      <c r="H135" s="75"/>
      <c r="I135" s="75"/>
      <c r="J135" s="75"/>
      <c r="K135" s="75"/>
      <c r="N135" s="85">
        <v>4.8600000000000003</v>
      </c>
      <c r="O135" s="85">
        <v>39.590000000000003</v>
      </c>
      <c r="P135" s="85">
        <v>48.35</v>
      </c>
      <c r="Q135" s="85">
        <v>38.89</v>
      </c>
      <c r="V135" s="86">
        <v>91.5</v>
      </c>
      <c r="W135" s="4">
        <v>95</v>
      </c>
      <c r="Y135" s="88">
        <v>93.5</v>
      </c>
      <c r="AA135">
        <v>98</v>
      </c>
      <c r="AB135">
        <v>57</v>
      </c>
      <c r="AD135" s="91">
        <v>96.2</v>
      </c>
      <c r="AF135" s="58">
        <v>100</v>
      </c>
    </row>
    <row r="136" spans="1:32">
      <c r="A136" s="4">
        <v>1912</v>
      </c>
      <c r="B136" s="75">
        <f t="shared" si="11"/>
        <v>96</v>
      </c>
      <c r="C136" s="75">
        <f t="shared" si="9"/>
        <v>95.5</v>
      </c>
      <c r="D136" s="75">
        <f t="shared" si="12"/>
        <v>99.014890128245341</v>
      </c>
      <c r="E136" s="75">
        <f t="shared" si="13"/>
        <v>99.043720157774558</v>
      </c>
      <c r="F136" s="75">
        <f t="shared" si="10"/>
        <v>99.30513171789606</v>
      </c>
      <c r="G136" s="75">
        <v>128.74810290679454</v>
      </c>
      <c r="H136" s="75"/>
      <c r="I136" s="75"/>
      <c r="J136" s="75"/>
      <c r="K136" s="75"/>
      <c r="N136" s="85">
        <v>4.87</v>
      </c>
      <c r="O136" s="85">
        <v>39.619999999999997</v>
      </c>
      <c r="P136" s="85">
        <v>48.24</v>
      </c>
      <c r="Q136" s="85">
        <v>38.71</v>
      </c>
      <c r="V136" s="86">
        <v>93.1</v>
      </c>
      <c r="W136" s="4">
        <v>96</v>
      </c>
      <c r="Y136" s="88">
        <v>95.5</v>
      </c>
      <c r="AA136">
        <v>98</v>
      </c>
      <c r="AB136">
        <v>57</v>
      </c>
      <c r="AD136" s="91">
        <v>98.9</v>
      </c>
      <c r="AF136" s="58">
        <v>100.5</v>
      </c>
    </row>
    <row r="137" spans="1:32">
      <c r="A137" s="4">
        <v>1913</v>
      </c>
      <c r="B137" s="75">
        <f>W137/W$137*100</f>
        <v>100</v>
      </c>
      <c r="C137" s="75">
        <f t="shared" si="9"/>
        <v>100</v>
      </c>
      <c r="D137" s="75">
        <f t="shared" si="12"/>
        <v>100</v>
      </c>
      <c r="E137" s="75">
        <f>((AD137*P137)/(AD$137*P$137))*100</f>
        <v>100</v>
      </c>
      <c r="F137" s="75">
        <f t="shared" si="10"/>
        <v>100</v>
      </c>
      <c r="G137" s="75">
        <v>100</v>
      </c>
      <c r="H137" s="75"/>
      <c r="I137" s="83">
        <f>GEOMEAN(B137:D137,F136:G137)</f>
        <v>103.57254482181467</v>
      </c>
      <c r="J137" s="83">
        <f>E137</f>
        <v>100</v>
      </c>
      <c r="K137" s="83">
        <f t="shared" ref="K137:K150" si="14">J137*L137</f>
        <v>96.550683554255798</v>
      </c>
      <c r="L137" s="83">
        <f>GEOMEAN(B137:D137,F137:G137)/I137</f>
        <v>0.96550683554255801</v>
      </c>
      <c r="N137" s="85">
        <v>4.87</v>
      </c>
      <c r="O137" s="85">
        <v>39.61</v>
      </c>
      <c r="P137" s="85">
        <v>48.17</v>
      </c>
      <c r="Q137" s="85">
        <v>38.369999999999997</v>
      </c>
      <c r="V137" s="86">
        <v>96.8</v>
      </c>
      <c r="W137" s="4">
        <v>100</v>
      </c>
      <c r="Y137" s="88">
        <v>100</v>
      </c>
      <c r="AA137">
        <v>99</v>
      </c>
      <c r="AB137">
        <v>57</v>
      </c>
      <c r="AD137" s="91">
        <v>100</v>
      </c>
      <c r="AF137" s="58">
        <v>102.1</v>
      </c>
    </row>
    <row r="138" spans="1:32">
      <c r="A138" s="4">
        <v>1914</v>
      </c>
      <c r="B138" s="75">
        <f t="shared" ref="B138:B162" si="15">W138/W$137*100</f>
        <v>102</v>
      </c>
      <c r="C138" s="75">
        <f t="shared" si="9"/>
        <v>96.510953346855999</v>
      </c>
      <c r="D138" s="75">
        <f t="shared" si="12"/>
        <v>102.25200757894524</v>
      </c>
      <c r="E138" s="30">
        <f t="shared" ref="E138:E148" si="16">K138</f>
        <v>93.081866477765388</v>
      </c>
      <c r="F138" s="75">
        <f t="shared" si="10"/>
        <v>101.94056172986518</v>
      </c>
      <c r="G138" s="75">
        <v>82.466426221520635</v>
      </c>
      <c r="H138" s="75"/>
      <c r="I138" s="84">
        <f>I137+(I137*(RATE(($A$149-$A$137),0,I$137,-I$149)))</f>
        <v>106.46214432823874</v>
      </c>
      <c r="J138" s="84">
        <f>J137+(J137*(RATE(($A$149-$A$137),0,J$137,-J$149)))</f>
        <v>102.46268423735442</v>
      </c>
      <c r="K138" s="83">
        <f t="shared" si="14"/>
        <v>93.081866477765388</v>
      </c>
      <c r="L138" s="83">
        <f t="shared" ref="L138:L150" si="17">GEOMEAN(B138:D138,F138:G138)/I138</f>
        <v>0.90844649611307859</v>
      </c>
      <c r="N138" s="85">
        <v>4.93</v>
      </c>
      <c r="O138" s="85">
        <v>39.700000000000003</v>
      </c>
      <c r="P138" s="85"/>
      <c r="Q138" s="85">
        <v>39</v>
      </c>
      <c r="W138" s="4">
        <v>102</v>
      </c>
      <c r="Y138" s="88">
        <v>97.7</v>
      </c>
      <c r="AA138">
        <v>101</v>
      </c>
      <c r="AB138" s="68"/>
      <c r="AF138" s="58">
        <v>102.4</v>
      </c>
    </row>
    <row r="139" spans="1:32">
      <c r="A139" s="4">
        <v>1915</v>
      </c>
      <c r="B139" s="75">
        <f t="shared" si="15"/>
        <v>129</v>
      </c>
      <c r="C139" s="75">
        <f t="shared" si="9"/>
        <v>107.52878151260505</v>
      </c>
      <c r="D139" s="75">
        <f t="shared" si="12"/>
        <v>148.25100283317906</v>
      </c>
      <c r="E139" s="30">
        <f t="shared" si="16"/>
        <v>105.28817555612206</v>
      </c>
      <c r="F139" s="75">
        <f t="shared" si="10"/>
        <v>105.29020871829707</v>
      </c>
      <c r="G139" s="75">
        <v>73.530836686602782</v>
      </c>
      <c r="H139" s="75"/>
      <c r="I139" s="84">
        <f t="shared" ref="I139:I148" si="18">I138+(I138*(RATE(($A$149-$A$137),0,I$137,-I$149)))</f>
        <v>109.43236158256009</v>
      </c>
      <c r="J139" s="84">
        <f t="shared" ref="J139:J148" si="19">J138+(J138*(RATE(($A$149-$A$137),0,J$137,-J$149)))</f>
        <v>104.98601661123799</v>
      </c>
      <c r="K139" s="83">
        <f t="shared" si="14"/>
        <v>105.28817555612206</v>
      </c>
      <c r="L139" s="83">
        <f t="shared" si="17"/>
        <v>1.0028780875266747</v>
      </c>
      <c r="N139" s="85">
        <v>4.76</v>
      </c>
      <c r="O139" s="85">
        <v>37.75</v>
      </c>
      <c r="P139" s="85"/>
      <c r="Q139" s="85">
        <v>34.75</v>
      </c>
      <c r="W139" s="4">
        <v>129</v>
      </c>
      <c r="Y139" s="88">
        <v>105.1</v>
      </c>
      <c r="AA139">
        <v>154</v>
      </c>
      <c r="AB139" s="68"/>
      <c r="AF139" s="58">
        <v>118.7</v>
      </c>
    </row>
    <row r="140" spans="1:32">
      <c r="A140" s="4">
        <v>1916</v>
      </c>
      <c r="B140" s="75">
        <f t="shared" si="15"/>
        <v>168</v>
      </c>
      <c r="C140" s="75">
        <f t="shared" si="9"/>
        <v>138.34067085953882</v>
      </c>
      <c r="D140" s="75">
        <f t="shared" si="12"/>
        <v>146.32668518050997</v>
      </c>
      <c r="E140" s="30">
        <f t="shared" si="16"/>
        <v>126.30806966410083</v>
      </c>
      <c r="F140" s="75">
        <f t="shared" si="10"/>
        <v>136.45697327710474</v>
      </c>
      <c r="G140" s="75">
        <v>86.610948725804576</v>
      </c>
      <c r="H140" s="75"/>
      <c r="I140" s="84">
        <f t="shared" si="18"/>
        <v>112.4854457619611</v>
      </c>
      <c r="J140" s="84">
        <f t="shared" si="19"/>
        <v>107.57149069374924</v>
      </c>
      <c r="K140" s="83">
        <f t="shared" si="14"/>
        <v>126.30806966410083</v>
      </c>
      <c r="L140" s="83">
        <f t="shared" si="17"/>
        <v>1.1741779243693267</v>
      </c>
      <c r="N140" s="85">
        <v>4.7699999999999996</v>
      </c>
      <c r="O140" s="85">
        <v>35.64</v>
      </c>
      <c r="P140" s="85"/>
      <c r="Q140" s="85">
        <v>32.03</v>
      </c>
      <c r="W140" s="4">
        <v>168</v>
      </c>
      <c r="Y140" s="88">
        <v>135.5</v>
      </c>
      <c r="AA140">
        <v>161</v>
      </c>
      <c r="AB140" s="68"/>
      <c r="AF140" s="58">
        <v>166.9</v>
      </c>
    </row>
    <row r="141" spans="1:32">
      <c r="A141" s="4">
        <v>1917</v>
      </c>
      <c r="B141" s="75">
        <f t="shared" si="15"/>
        <v>225</v>
      </c>
      <c r="C141" s="75">
        <f t="shared" si="9"/>
        <v>181.09033613445379</v>
      </c>
      <c r="D141" s="75">
        <f t="shared" si="12"/>
        <v>208.91189093663218</v>
      </c>
      <c r="E141" s="30">
        <f t="shared" si="16"/>
        <v>160.99978917779964</v>
      </c>
      <c r="F141" s="75">
        <f t="shared" si="10"/>
        <v>186.06807217828779</v>
      </c>
      <c r="G141" s="75">
        <v>86.762813196357101</v>
      </c>
      <c r="H141" s="75"/>
      <c r="I141" s="84">
        <f t="shared" si="18"/>
        <v>115.62370879404982</v>
      </c>
      <c r="J141" s="84">
        <f t="shared" si="19"/>
        <v>110.22063683895139</v>
      </c>
      <c r="K141" s="83">
        <f t="shared" si="14"/>
        <v>160.99978917779964</v>
      </c>
      <c r="L141" s="83">
        <f t="shared" si="17"/>
        <v>1.4607045812395738</v>
      </c>
      <c r="N141" s="85">
        <v>4.76</v>
      </c>
      <c r="O141" s="85">
        <v>36.409999999999997</v>
      </c>
      <c r="P141" s="85"/>
      <c r="Q141" s="85">
        <v>27.95</v>
      </c>
      <c r="W141" s="4">
        <v>225</v>
      </c>
      <c r="Y141" s="88">
        <v>177</v>
      </c>
      <c r="AA141">
        <v>225</v>
      </c>
      <c r="AB141" s="68"/>
      <c r="AF141" s="58">
        <v>260.8</v>
      </c>
    </row>
    <row r="142" spans="1:32">
      <c r="A142" s="4">
        <v>1918</v>
      </c>
      <c r="B142" s="75">
        <f t="shared" si="15"/>
        <v>252.99999999999997</v>
      </c>
      <c r="C142" s="75">
        <f t="shared" ref="C142:C161" si="20">((Y142/N142)/(Y$137/N$137))*100</f>
        <v>210.42075471698115</v>
      </c>
      <c r="D142" s="75">
        <f t="shared" si="12"/>
        <v>292.56437130711299</v>
      </c>
      <c r="E142" s="30">
        <f t="shared" si="16"/>
        <v>191.88803157936988</v>
      </c>
      <c r="F142" s="75">
        <f t="shared" si="10"/>
        <v>238.58721857923922</v>
      </c>
      <c r="G142" s="75">
        <v>90.366153922374622</v>
      </c>
      <c r="H142" s="75"/>
      <c r="I142" s="84">
        <f t="shared" si="18"/>
        <v>118.84952710755171</v>
      </c>
      <c r="J142" s="84">
        <f t="shared" si="19"/>
        <v>112.93502308869591</v>
      </c>
      <c r="K142" s="83">
        <f t="shared" si="14"/>
        <v>191.88803157936988</v>
      </c>
      <c r="L142" s="83">
        <f t="shared" si="17"/>
        <v>1.6991011851891733</v>
      </c>
      <c r="N142" s="85">
        <v>4.7699999999999996</v>
      </c>
      <c r="O142" s="85">
        <v>37.369999999999997</v>
      </c>
      <c r="P142" s="85"/>
      <c r="Q142" s="85">
        <v>26.69</v>
      </c>
      <c r="W142" s="4">
        <v>253</v>
      </c>
      <c r="Y142" s="88">
        <v>206.1</v>
      </c>
      <c r="AA142">
        <v>307</v>
      </c>
      <c r="AB142" s="68"/>
      <c r="AF142" s="58">
        <v>350.2</v>
      </c>
    </row>
    <row r="143" spans="1:32">
      <c r="A143" s="4">
        <v>1919</v>
      </c>
      <c r="B143" s="75">
        <f t="shared" si="15"/>
        <v>277</v>
      </c>
      <c r="C143" s="75">
        <f t="shared" si="20"/>
        <v>237.12392776523706</v>
      </c>
      <c r="D143" s="75">
        <f t="shared" si="12"/>
        <v>302.68450727930662</v>
      </c>
      <c r="E143" s="30">
        <f t="shared" si="16"/>
        <v>226.75081740617483</v>
      </c>
      <c r="F143" s="75">
        <f t="shared" si="10"/>
        <v>267.35436214782766</v>
      </c>
      <c r="G143" s="75">
        <v>147.90400076452642</v>
      </c>
      <c r="H143" s="75"/>
      <c r="I143" s="84">
        <f t="shared" si="18"/>
        <v>122.16534343184443</v>
      </c>
      <c r="J143" s="84">
        <f t="shared" si="19"/>
        <v>115.71625610075381</v>
      </c>
      <c r="K143" s="83">
        <f t="shared" si="14"/>
        <v>226.75081740617483</v>
      </c>
      <c r="L143" s="83">
        <f t="shared" si="17"/>
        <v>1.9595415981030664</v>
      </c>
      <c r="N143" s="85">
        <v>4.43</v>
      </c>
      <c r="O143" s="85">
        <v>30.91</v>
      </c>
      <c r="P143" s="85"/>
      <c r="Q143" s="85">
        <v>25.69</v>
      </c>
      <c r="W143" s="4">
        <v>277</v>
      </c>
      <c r="Y143" s="88">
        <v>215.7</v>
      </c>
      <c r="AA143">
        <v>384</v>
      </c>
      <c r="AB143" s="68"/>
      <c r="AF143" s="58">
        <v>407.7</v>
      </c>
    </row>
    <row r="144" spans="1:32">
      <c r="A144" s="4">
        <v>1920</v>
      </c>
      <c r="B144" s="75">
        <f t="shared" si="15"/>
        <v>358</v>
      </c>
      <c r="C144" s="75">
        <f t="shared" si="20"/>
        <v>309.36475409836072</v>
      </c>
      <c r="D144" s="75">
        <f t="shared" si="12"/>
        <v>224.85368708544678</v>
      </c>
      <c r="E144" s="30">
        <f t="shared" si="16"/>
        <v>214.6329520543288</v>
      </c>
      <c r="F144" s="75">
        <f t="shared" si="10"/>
        <v>225.05523184356053</v>
      </c>
      <c r="G144" s="75">
        <v>108.30073523566526</v>
      </c>
      <c r="H144" s="75"/>
      <c r="I144" s="84">
        <f t="shared" si="18"/>
        <v>125.57366864669839</v>
      </c>
      <c r="J144" s="84">
        <f t="shared" si="19"/>
        <v>118.56598209980375</v>
      </c>
      <c r="K144" s="83">
        <f t="shared" si="14"/>
        <v>214.6329520543288</v>
      </c>
      <c r="L144" s="83">
        <f t="shared" si="17"/>
        <v>1.8102405787324394</v>
      </c>
      <c r="N144" s="85">
        <v>3.66</v>
      </c>
      <c r="O144" s="85">
        <v>19.21</v>
      </c>
      <c r="P144" s="85"/>
      <c r="Q144" s="85">
        <v>13.56</v>
      </c>
      <c r="W144" s="4">
        <v>358</v>
      </c>
      <c r="Y144" s="88">
        <v>232.5</v>
      </c>
      <c r="AA144">
        <v>459</v>
      </c>
      <c r="AB144"/>
      <c r="AF144" s="58">
        <v>650.20000000000005</v>
      </c>
    </row>
    <row r="145" spans="1:32">
      <c r="A145" s="4">
        <v>1921</v>
      </c>
      <c r="B145" s="75">
        <f t="shared" si="15"/>
        <v>269</v>
      </c>
      <c r="C145" s="75">
        <f t="shared" si="20"/>
        <v>199.22727272727275</v>
      </c>
      <c r="D145" s="75">
        <f t="shared" si="12"/>
        <v>169.42742241909122</v>
      </c>
      <c r="E145" s="30">
        <f t="shared" si="16"/>
        <v>144.61907146081714</v>
      </c>
      <c r="F145" s="75">
        <f t="shared" si="10"/>
        <v>163.23048659924237</v>
      </c>
      <c r="G145" s="75">
        <v>57.790753628618049</v>
      </c>
      <c r="H145" s="75"/>
      <c r="I145" s="84">
        <f t="shared" si="18"/>
        <v>129.07708368362361</v>
      </c>
      <c r="J145" s="84">
        <f t="shared" si="19"/>
        <v>121.48588785184009</v>
      </c>
      <c r="K145" s="83">
        <f t="shared" si="14"/>
        <v>144.61907146081714</v>
      </c>
      <c r="L145" s="83">
        <f t="shared" si="17"/>
        <v>1.1904186899237998</v>
      </c>
      <c r="N145" s="85">
        <v>3.85</v>
      </c>
      <c r="O145" s="85">
        <v>19.37</v>
      </c>
      <c r="P145" s="85"/>
      <c r="Q145" s="85">
        <v>11.16</v>
      </c>
      <c r="W145" s="4">
        <v>269</v>
      </c>
      <c r="Y145" s="88">
        <v>157.5</v>
      </c>
      <c r="AA145">
        <v>343</v>
      </c>
      <c r="AB145">
        <v>77</v>
      </c>
      <c r="AF145" s="58">
        <v>573</v>
      </c>
    </row>
    <row r="146" spans="1:32">
      <c r="A146" s="4">
        <v>1922</v>
      </c>
      <c r="B146" s="75">
        <f t="shared" si="15"/>
        <v>200.99999999999997</v>
      </c>
      <c r="C146" s="75">
        <f t="shared" si="20"/>
        <v>158.08261851015803</v>
      </c>
      <c r="D146" s="75">
        <f t="shared" si="12"/>
        <v>169.07678144739492</v>
      </c>
      <c r="E146" s="30">
        <f t="shared" si="16"/>
        <v>134.33861801509255</v>
      </c>
      <c r="F146" s="75">
        <f t="shared" si="10"/>
        <v>157.27930810294225</v>
      </c>
      <c r="G146" s="75">
        <v>71.237614777444705</v>
      </c>
      <c r="H146" s="75"/>
      <c r="I146" s="84">
        <f t="shared" si="18"/>
        <v>132.67824148026295</v>
      </c>
      <c r="J146" s="84">
        <f>J145+(J145*(RATE(($A$149-$A$137),0,J$137,-J$149)))</f>
        <v>124.47770166257743</v>
      </c>
      <c r="K146" s="83">
        <f t="shared" si="14"/>
        <v>134.33861801509255</v>
      </c>
      <c r="L146" s="83">
        <f t="shared" si="17"/>
        <v>1.0792183356601905</v>
      </c>
      <c r="N146" s="85">
        <v>4.43</v>
      </c>
      <c r="O146" s="85">
        <v>18.52</v>
      </c>
      <c r="P146" s="85"/>
      <c r="Q146" s="85">
        <v>10.74</v>
      </c>
      <c r="W146" s="4">
        <v>201</v>
      </c>
      <c r="Y146" s="88">
        <v>143.80000000000001</v>
      </c>
      <c r="AA146">
        <v>358</v>
      </c>
      <c r="AB146">
        <v>84</v>
      </c>
      <c r="AF146" s="58">
        <v>573.70000000000005</v>
      </c>
    </row>
    <row r="147" spans="1:32">
      <c r="A147" s="4">
        <v>1923</v>
      </c>
      <c r="B147" s="75">
        <f t="shared" si="15"/>
        <v>190</v>
      </c>
      <c r="C147" s="75">
        <f t="shared" si="20"/>
        <v>164.32253829321664</v>
      </c>
      <c r="D147" s="75">
        <f t="shared" si="12"/>
        <v>146.4093089440224</v>
      </c>
      <c r="E147" s="30">
        <f t="shared" si="16"/>
        <v>126.33701647322279</v>
      </c>
      <c r="F147" s="75">
        <f t="shared" si="10"/>
        <v>140.23377204838607</v>
      </c>
      <c r="G147" s="75">
        <v>70.185263526903668</v>
      </c>
      <c r="H147" s="75"/>
      <c r="I147" s="84">
        <f t="shared" si="18"/>
        <v>136.37986898931138</v>
      </c>
      <c r="J147" s="84">
        <f t="shared" si="19"/>
        <v>127.5431944004428</v>
      </c>
      <c r="K147" s="83">
        <f t="shared" si="14"/>
        <v>126.33701647322279</v>
      </c>
      <c r="L147" s="83">
        <f t="shared" si="17"/>
        <v>0.99054298480691161</v>
      </c>
      <c r="N147" s="85">
        <v>4.57</v>
      </c>
      <c r="O147" s="85">
        <v>13.29</v>
      </c>
      <c r="P147" s="85"/>
      <c r="Q147" s="85">
        <v>10.06</v>
      </c>
      <c r="W147" s="4">
        <v>190</v>
      </c>
      <c r="Y147" s="88">
        <v>154.19999999999999</v>
      </c>
      <c r="AA147">
        <v>432</v>
      </c>
      <c r="AB147">
        <v>78</v>
      </c>
      <c r="AF147" s="58">
        <v>546.1</v>
      </c>
    </row>
    <row r="148" spans="1:32">
      <c r="A148" s="4">
        <v>1924</v>
      </c>
      <c r="B148" s="75">
        <f t="shared" si="15"/>
        <v>189</v>
      </c>
      <c r="C148" s="75">
        <f t="shared" si="20"/>
        <v>166.48348416289593</v>
      </c>
      <c r="D148" s="75">
        <f t="shared" si="12"/>
        <v>154.85121347277368</v>
      </c>
      <c r="E148" s="30">
        <f t="shared" si="16"/>
        <v>137.00567543431373</v>
      </c>
      <c r="F148" s="75">
        <f t="shared" si="10"/>
        <v>143.22870999089488</v>
      </c>
      <c r="G148" s="75">
        <v>98.243583958013843</v>
      </c>
      <c r="H148" s="75"/>
      <c r="I148" s="84">
        <f t="shared" si="18"/>
        <v>140.18476924348269</v>
      </c>
      <c r="J148" s="84">
        <f t="shared" si="19"/>
        <v>130.68418054476081</v>
      </c>
      <c r="K148" s="83">
        <f t="shared" si="14"/>
        <v>137.00567543431373</v>
      </c>
      <c r="L148" s="83">
        <f t="shared" si="17"/>
        <v>1.048372303848879</v>
      </c>
      <c r="N148" s="85">
        <v>4.42</v>
      </c>
      <c r="O148" s="85">
        <v>11.86</v>
      </c>
      <c r="P148" s="85"/>
      <c r="Q148" s="85">
        <v>9.8699999999999992</v>
      </c>
      <c r="W148" s="4">
        <v>189</v>
      </c>
      <c r="Y148" s="88">
        <v>151.1</v>
      </c>
      <c r="AA148">
        <v>512</v>
      </c>
      <c r="AB148">
        <v>80</v>
      </c>
      <c r="AD148" s="91">
        <v>133.4</v>
      </c>
      <c r="AF148" s="58">
        <v>568.5</v>
      </c>
    </row>
    <row r="149" spans="1:32">
      <c r="A149" s="4">
        <v>1925</v>
      </c>
      <c r="B149" s="75">
        <f t="shared" si="15"/>
        <v>184</v>
      </c>
      <c r="C149" s="75">
        <f t="shared" si="20"/>
        <v>154.46873706004141</v>
      </c>
      <c r="D149" s="75">
        <f t="shared" si="12"/>
        <v>133.90251925975227</v>
      </c>
      <c r="E149" s="75">
        <f t="shared" ref="E149:E161" si="21">((AD149*P149)/(AD$137*P$137))*100</f>
        <v>141.72026157359352</v>
      </c>
      <c r="F149" s="75">
        <f t="shared" si="10"/>
        <v>138.63119984623151</v>
      </c>
      <c r="G149" s="75">
        <v>117.74671976627278</v>
      </c>
      <c r="H149" s="75"/>
      <c r="I149" s="83">
        <f>GEOMEAN(B149:D149,F149:G149)</f>
        <v>144.0958234592307</v>
      </c>
      <c r="J149" s="83">
        <f>D149</f>
        <v>133.90251925975227</v>
      </c>
      <c r="K149" s="83">
        <f t="shared" si="14"/>
        <v>133.90251925975227</v>
      </c>
      <c r="L149" s="83">
        <f t="shared" si="17"/>
        <v>1</v>
      </c>
      <c r="N149" s="85">
        <v>4.83</v>
      </c>
      <c r="O149" s="85">
        <v>9.8699999999999992</v>
      </c>
      <c r="P149" s="85">
        <v>49.29</v>
      </c>
      <c r="Q149" s="85">
        <v>8.24</v>
      </c>
      <c r="W149" s="4">
        <v>184</v>
      </c>
      <c r="Y149" s="88">
        <v>153.19999999999999</v>
      </c>
      <c r="AA149">
        <v>532</v>
      </c>
      <c r="AB149">
        <v>77</v>
      </c>
      <c r="AD149" s="91">
        <v>138.5</v>
      </c>
      <c r="AF149" s="58">
        <v>659.1</v>
      </c>
    </row>
    <row r="150" spans="1:32">
      <c r="A150" s="4">
        <v>1926</v>
      </c>
      <c r="B150" s="75">
        <f t="shared" si="15"/>
        <v>174</v>
      </c>
      <c r="C150" s="75">
        <f>((Y150/N150)/(Y$137/N$137))*100</f>
        <v>141.08971193415638</v>
      </c>
      <c r="D150" s="75">
        <f>((AB150/N150)/(AB$149/N$149))*D$149</f>
        <v>107.152072090015</v>
      </c>
      <c r="E150" s="75">
        <f t="shared" si="21"/>
        <v>136.78959933568612</v>
      </c>
      <c r="F150" s="75">
        <f t="shared" ref="F150:F161" si="22">((AF150*Q150)/(AF$137*Q$137))*100</f>
        <v>145.5981847963678</v>
      </c>
      <c r="G150" s="75">
        <v>111.70177520822145</v>
      </c>
      <c r="H150" s="75"/>
      <c r="I150" s="92">
        <f>GEOMEAN(B150:D150,F150:G150)</f>
        <v>133.73720449303579</v>
      </c>
      <c r="J150" s="92">
        <f>D150</f>
        <v>107.152072090015</v>
      </c>
      <c r="K150" s="92">
        <f t="shared" si="14"/>
        <v>107.152072090015</v>
      </c>
      <c r="L150" s="92">
        <f t="shared" si="17"/>
        <v>1</v>
      </c>
      <c r="N150" s="85">
        <v>4.8600000000000003</v>
      </c>
      <c r="O150" s="85">
        <v>6.67</v>
      </c>
      <c r="P150" s="85">
        <v>48.99</v>
      </c>
      <c r="Q150" s="85">
        <v>8.01</v>
      </c>
      <c r="W150" s="4">
        <v>174</v>
      </c>
      <c r="Y150" s="88">
        <v>140.80000000000001</v>
      </c>
      <c r="AA150" s="90"/>
      <c r="AB150">
        <v>62</v>
      </c>
      <c r="AD150" s="91">
        <v>134.5</v>
      </c>
      <c r="AF150" s="58">
        <v>712.1</v>
      </c>
    </row>
    <row r="151" spans="1:32">
      <c r="A151" s="4">
        <v>1927</v>
      </c>
      <c r="B151" s="75">
        <f t="shared" si="15"/>
        <v>165</v>
      </c>
      <c r="C151" s="75">
        <f t="shared" si="20"/>
        <v>131.87078189300411</v>
      </c>
      <c r="D151" s="75">
        <f t="shared" ref="D151:D161" si="23">((AB151/N151)/(AB$149/N$149))*D$149</f>
        <v>110.60859054453161</v>
      </c>
      <c r="E151" s="75">
        <f t="shared" si="21"/>
        <v>140.26568403570687</v>
      </c>
      <c r="F151" s="75">
        <f t="shared" si="22"/>
        <v>154.40056443051409</v>
      </c>
      <c r="G151" s="75">
        <v>94.407760840433284</v>
      </c>
      <c r="H151" s="75"/>
      <c r="I151" s="75"/>
      <c r="J151" s="75"/>
      <c r="K151" s="75"/>
      <c r="N151" s="85">
        <v>4.8600000000000003</v>
      </c>
      <c r="O151" s="85">
        <v>8.07</v>
      </c>
      <c r="P151" s="85">
        <v>48.89</v>
      </c>
      <c r="Q151" s="85">
        <v>10.61</v>
      </c>
      <c r="W151" s="4">
        <v>165</v>
      </c>
      <c r="Y151" s="88">
        <v>131.6</v>
      </c>
      <c r="AA151" s="90"/>
      <c r="AB151">
        <v>64</v>
      </c>
      <c r="AD151" s="91">
        <v>138.19999999999999</v>
      </c>
      <c r="AF151" s="58">
        <v>570.1</v>
      </c>
    </row>
    <row r="152" spans="1:32">
      <c r="A152" s="4">
        <v>1928</v>
      </c>
      <c r="B152" s="75">
        <f t="shared" si="15"/>
        <v>165</v>
      </c>
      <c r="C152" s="75">
        <f t="shared" si="20"/>
        <v>134.69999999999999</v>
      </c>
      <c r="D152" s="75">
        <f t="shared" si="23"/>
        <v>103.48262642064111</v>
      </c>
      <c r="E152" s="75">
        <f t="shared" si="21"/>
        <v>141.5834129126012</v>
      </c>
      <c r="F152" s="75">
        <f t="shared" si="22"/>
        <v>143.13337044811121</v>
      </c>
      <c r="G152" s="75">
        <v>107.98741595584254</v>
      </c>
      <c r="H152" s="75"/>
      <c r="I152" s="75"/>
      <c r="J152" s="75"/>
      <c r="K152" s="75"/>
      <c r="N152" s="85">
        <v>4.87</v>
      </c>
      <c r="O152" s="85">
        <v>8.06</v>
      </c>
      <c r="P152" s="85">
        <v>49.03</v>
      </c>
      <c r="Q152" s="85">
        <v>10.8</v>
      </c>
      <c r="W152" s="4">
        <v>165</v>
      </c>
      <c r="Y152" s="88">
        <v>134.69999999999999</v>
      </c>
      <c r="AA152" s="90"/>
      <c r="AB152">
        <v>60</v>
      </c>
      <c r="AD152" s="91">
        <v>139.1</v>
      </c>
      <c r="AF152" s="58">
        <v>519.20000000000005</v>
      </c>
    </row>
    <row r="153" spans="1:32">
      <c r="A153" s="4">
        <v>1929</v>
      </c>
      <c r="B153" s="75">
        <f t="shared" si="15"/>
        <v>161</v>
      </c>
      <c r="C153" s="75">
        <f t="shared" si="20"/>
        <v>133.87489711934154</v>
      </c>
      <c r="D153" s="75">
        <f t="shared" si="23"/>
        <v>100.23903518098176</v>
      </c>
      <c r="E153" s="75">
        <f t="shared" si="21"/>
        <v>138.60336308905957</v>
      </c>
      <c r="F153" s="75">
        <f t="shared" si="22"/>
        <v>133.78769581299872</v>
      </c>
      <c r="G153" s="75">
        <v>98.757234057425748</v>
      </c>
      <c r="H153" s="75"/>
      <c r="I153" s="75"/>
      <c r="J153" s="75"/>
      <c r="K153" s="75"/>
      <c r="N153" s="85">
        <v>4.8600000000000003</v>
      </c>
      <c r="O153" s="85">
        <v>8.06</v>
      </c>
      <c r="P153" s="85">
        <v>49.02</v>
      </c>
      <c r="Q153" s="85">
        <v>10.78</v>
      </c>
      <c r="W153" s="4">
        <v>161</v>
      </c>
      <c r="Y153" s="88">
        <v>133.6</v>
      </c>
      <c r="AA153" s="90"/>
      <c r="AB153">
        <v>58</v>
      </c>
      <c r="AD153" s="91">
        <v>136.19999999999999</v>
      </c>
      <c r="AF153" s="58">
        <v>486.2</v>
      </c>
    </row>
    <row r="154" spans="1:32">
      <c r="A154" s="4">
        <v>1930</v>
      </c>
      <c r="B154" s="75">
        <f t="shared" si="15"/>
        <v>154</v>
      </c>
      <c r="C154" s="75">
        <f t="shared" si="20"/>
        <v>119.74951427367874</v>
      </c>
      <c r="D154" s="75">
        <f t="shared" si="23"/>
        <v>95.054257499206841</v>
      </c>
      <c r="E154" s="75">
        <f t="shared" si="21"/>
        <v>131.68897654141583</v>
      </c>
      <c r="F154" s="75">
        <f t="shared" si="22"/>
        <v>118.323341187678</v>
      </c>
      <c r="G154" s="75">
        <v>62.367837032869133</v>
      </c>
      <c r="H154" s="75"/>
      <c r="I154" s="75"/>
      <c r="J154" s="75"/>
      <c r="K154" s="75"/>
      <c r="N154" s="85">
        <v>4.8600000000000003</v>
      </c>
      <c r="O154" s="85">
        <v>8.07</v>
      </c>
      <c r="P154" s="85">
        <v>49.06</v>
      </c>
      <c r="Q154" s="85">
        <v>10.77</v>
      </c>
      <c r="W154" s="4">
        <v>154</v>
      </c>
      <c r="Y154" s="88">
        <v>119.50362204724408</v>
      </c>
      <c r="AA154" s="90"/>
      <c r="AB154">
        <v>55</v>
      </c>
      <c r="AD154" s="91">
        <v>129.30000000000001</v>
      </c>
      <c r="AF154" s="58">
        <v>430.4</v>
      </c>
    </row>
    <row r="155" spans="1:32">
      <c r="A155" s="4">
        <v>1931</v>
      </c>
      <c r="B155" s="75">
        <f t="shared" si="15"/>
        <v>138</v>
      </c>
      <c r="C155" s="75">
        <f t="shared" si="20"/>
        <v>98.616590012341163</v>
      </c>
      <c r="D155" s="75">
        <f t="shared" si="23"/>
        <v>85.291309678999326</v>
      </c>
      <c r="E155" s="75">
        <f t="shared" si="21"/>
        <v>124.40626946232094</v>
      </c>
      <c r="F155" s="75">
        <f t="shared" si="22"/>
        <v>109.01023770560225</v>
      </c>
      <c r="G155" s="75">
        <v>42.352913164383935</v>
      </c>
      <c r="H155" s="75"/>
      <c r="I155" s="75"/>
      <c r="J155" s="75"/>
      <c r="K155" s="75"/>
      <c r="N155" s="85">
        <v>4.53</v>
      </c>
      <c r="O155" s="85">
        <v>8.64</v>
      </c>
      <c r="P155" s="85">
        <v>52.11</v>
      </c>
      <c r="Q155" s="85">
        <v>11.48</v>
      </c>
      <c r="W155" s="4">
        <v>138</v>
      </c>
      <c r="Y155" s="88">
        <v>91.731653543307075</v>
      </c>
      <c r="AA155" s="90"/>
      <c r="AB155">
        <v>46</v>
      </c>
      <c r="AD155" s="91">
        <v>115</v>
      </c>
      <c r="AF155" s="58">
        <v>372</v>
      </c>
    </row>
    <row r="156" spans="1:32">
      <c r="A156" s="4">
        <v>1932</v>
      </c>
      <c r="B156" s="75">
        <f t="shared" si="15"/>
        <v>129</v>
      </c>
      <c r="C156" s="75">
        <f t="shared" si="20"/>
        <v>109.75957646319851</v>
      </c>
      <c r="D156" s="75">
        <f t="shared" si="23"/>
        <v>93.325998271948563</v>
      </c>
      <c r="E156" s="75">
        <f t="shared" si="21"/>
        <v>143.72073904920072</v>
      </c>
      <c r="F156" s="75">
        <f t="shared" si="22"/>
        <v>116.06204549393671</v>
      </c>
      <c r="G156" s="75">
        <v>46.042583095728709</v>
      </c>
      <c r="H156" s="75"/>
      <c r="I156" s="75"/>
      <c r="J156" s="75"/>
      <c r="K156" s="75"/>
      <c r="N156" s="85">
        <v>3.51</v>
      </c>
      <c r="O156" s="85">
        <v>11.2</v>
      </c>
      <c r="P156" s="85">
        <v>67.739999999999995</v>
      </c>
      <c r="Q156" s="85">
        <v>14.62</v>
      </c>
      <c r="W156" s="4">
        <v>129</v>
      </c>
      <c r="Y156" s="88">
        <v>79.108031496062992</v>
      </c>
      <c r="AA156" s="90"/>
      <c r="AB156">
        <v>39</v>
      </c>
      <c r="AD156" s="91">
        <v>102.2</v>
      </c>
      <c r="AF156" s="58">
        <v>311</v>
      </c>
    </row>
    <row r="157" spans="1:32">
      <c r="A157" s="4">
        <v>1933</v>
      </c>
      <c r="B157" s="75">
        <f t="shared" si="15"/>
        <v>128</v>
      </c>
      <c r="C157" s="75">
        <f t="shared" si="20"/>
        <v>95.050978061704555</v>
      </c>
      <c r="D157" s="75">
        <f>((AB157/N157)/(AB$149/N$149))*D$149</f>
        <v>91.124913407044119</v>
      </c>
      <c r="E157" s="75">
        <f t="shared" si="21"/>
        <v>142.20579198671373</v>
      </c>
      <c r="F157" s="75">
        <f t="shared" si="22"/>
        <v>110.09948240966294</v>
      </c>
      <c r="G157" s="75">
        <v>35.502924300614033</v>
      </c>
      <c r="H157" s="75"/>
      <c r="I157" s="75"/>
      <c r="J157" s="75"/>
      <c r="K157" s="75"/>
      <c r="N157" s="85">
        <v>4.24</v>
      </c>
      <c r="O157" s="85">
        <v>11.88</v>
      </c>
      <c r="P157" s="85">
        <v>72.03</v>
      </c>
      <c r="Q157" s="85">
        <v>15.84</v>
      </c>
      <c r="W157" s="4">
        <v>128</v>
      </c>
      <c r="Y157" s="88">
        <v>82.754855643044621</v>
      </c>
      <c r="AA157" s="90"/>
      <c r="AB157">
        <v>46</v>
      </c>
      <c r="AD157" s="91">
        <v>95.1</v>
      </c>
      <c r="AF157" s="58">
        <v>272.3</v>
      </c>
    </row>
    <row r="158" spans="1:32">
      <c r="A158" s="4">
        <v>1934</v>
      </c>
      <c r="B158" s="75">
        <f t="shared" si="15"/>
        <v>129</v>
      </c>
      <c r="C158" s="75">
        <f t="shared" si="20"/>
        <v>93.516660417447824</v>
      </c>
      <c r="D158" s="75">
        <f t="shared" si="23"/>
        <v>93.325998271948535</v>
      </c>
      <c r="E158" s="75">
        <f t="shared" si="21"/>
        <v>142.10222129956404</v>
      </c>
      <c r="F158" s="75">
        <f t="shared" si="22"/>
        <v>106.25317638938559</v>
      </c>
      <c r="G158" s="75">
        <v>32.957239194117996</v>
      </c>
      <c r="H158" s="75"/>
      <c r="I158" s="75"/>
      <c r="J158" s="75"/>
      <c r="K158" s="75"/>
      <c r="N158" s="85">
        <v>5.04</v>
      </c>
      <c r="O158" s="85">
        <v>13.04</v>
      </c>
      <c r="P158" s="85">
        <v>78.14</v>
      </c>
      <c r="Q158" s="85">
        <v>16.989999999999998</v>
      </c>
      <c r="W158" s="4">
        <v>129</v>
      </c>
      <c r="Y158" s="88">
        <v>96.78110236220472</v>
      </c>
      <c r="AA158" s="90"/>
      <c r="AB158">
        <v>56</v>
      </c>
      <c r="AD158" s="91">
        <v>87.6</v>
      </c>
      <c r="AF158" s="58">
        <v>245</v>
      </c>
    </row>
    <row r="159" spans="1:32">
      <c r="A159" s="4">
        <v>1935</v>
      </c>
      <c r="B159" s="75">
        <f t="shared" si="15"/>
        <v>129</v>
      </c>
      <c r="C159" s="75">
        <f t="shared" si="20"/>
        <v>98.558428196475447</v>
      </c>
      <c r="D159" s="75">
        <f t="shared" si="23"/>
        <v>95.992455365432775</v>
      </c>
      <c r="E159" s="75">
        <f t="shared" si="21"/>
        <v>139.98075565704795</v>
      </c>
      <c r="F159" s="75">
        <f t="shared" si="22"/>
        <v>112.31717972614197</v>
      </c>
      <c r="G159" s="75">
        <v>27.175900346202326</v>
      </c>
      <c r="H159" s="75"/>
      <c r="I159" s="75"/>
      <c r="J159" s="75"/>
      <c r="K159" s="75"/>
      <c r="N159" s="85">
        <v>4.9000000000000004</v>
      </c>
      <c r="O159" s="85">
        <v>13.47</v>
      </c>
      <c r="P159" s="85">
        <v>82.13</v>
      </c>
      <c r="Q159" s="85">
        <v>16.82</v>
      </c>
      <c r="W159" s="4">
        <v>129</v>
      </c>
      <c r="Y159" s="88">
        <v>99.165564304461938</v>
      </c>
      <c r="AA159" s="90"/>
      <c r="AB159">
        <v>56</v>
      </c>
      <c r="AD159" s="91">
        <v>82.1</v>
      </c>
      <c r="AF159" s="58">
        <v>261.60000000000002</v>
      </c>
    </row>
    <row r="160" spans="1:32">
      <c r="A160" s="4">
        <v>1936</v>
      </c>
      <c r="B160" s="75">
        <f t="shared" si="15"/>
        <v>132</v>
      </c>
      <c r="C160" s="75">
        <f t="shared" si="20"/>
        <v>99.506766161272111</v>
      </c>
      <c r="D160" s="75">
        <f t="shared" si="23"/>
        <v>89.570424900843989</v>
      </c>
      <c r="E160" s="75">
        <f t="shared" si="21"/>
        <v>139.68881046294374</v>
      </c>
      <c r="F160" s="75">
        <f t="shared" si="22"/>
        <v>113.72537157533853</v>
      </c>
      <c r="G160" s="75">
        <v>30.554347796756765</v>
      </c>
      <c r="H160" s="75"/>
      <c r="I160" s="75"/>
      <c r="J160" s="75"/>
      <c r="K160" s="75"/>
      <c r="N160" s="85">
        <v>4.97</v>
      </c>
      <c r="O160" s="85">
        <v>12.3</v>
      </c>
      <c r="P160" s="85">
        <v>81.069999999999993</v>
      </c>
      <c r="Q160" s="85">
        <v>14.67</v>
      </c>
      <c r="W160" s="4">
        <v>132</v>
      </c>
      <c r="Y160" s="88">
        <v>101.55002624671916</v>
      </c>
      <c r="AA160" s="90"/>
      <c r="AB160">
        <v>53</v>
      </c>
      <c r="AD160" s="91">
        <v>83</v>
      </c>
      <c r="AF160" s="58">
        <v>303.7</v>
      </c>
    </row>
    <row r="161" spans="1:32">
      <c r="A161" s="4">
        <v>1937</v>
      </c>
      <c r="B161" s="75">
        <f t="shared" si="15"/>
        <v>143</v>
      </c>
      <c r="C161" s="75">
        <f t="shared" si="20"/>
        <v>106.12601825581518</v>
      </c>
      <c r="D161" s="75">
        <f t="shared" si="23"/>
        <v>85.013561178900503</v>
      </c>
      <c r="E161" s="75">
        <f t="shared" si="21"/>
        <v>153.7938966161511</v>
      </c>
      <c r="F161" s="75">
        <f t="shared" si="22"/>
        <v>112.90264364937819</v>
      </c>
      <c r="G161" s="75">
        <v>34.673397455003737</v>
      </c>
      <c r="H161" s="75"/>
      <c r="I161" s="75"/>
      <c r="J161" s="75"/>
      <c r="K161" s="75"/>
      <c r="N161" s="85">
        <v>4.9400000000000004</v>
      </c>
      <c r="O161" s="85">
        <v>8.18</v>
      </c>
      <c r="P161" s="85">
        <v>81.319999999999993</v>
      </c>
      <c r="Q161" s="85">
        <v>10.64</v>
      </c>
      <c r="W161" s="4">
        <v>143</v>
      </c>
      <c r="Y161" s="88">
        <v>107.65144356955379</v>
      </c>
      <c r="AA161" s="90"/>
      <c r="AB161">
        <v>50</v>
      </c>
      <c r="AD161" s="91">
        <v>91.1</v>
      </c>
      <c r="AF161" s="58">
        <v>415.7</v>
      </c>
    </row>
    <row r="162" spans="1:32">
      <c r="A162" s="4">
        <v>1938</v>
      </c>
      <c r="B162" s="75">
        <f t="shared" si="15"/>
        <v>146</v>
      </c>
      <c r="C162" s="75">
        <f>((Y162/N162)/(Y$137/N$137))*100</f>
        <v>99.179045564089776</v>
      </c>
      <c r="D162" s="75">
        <f>((AB162/N162)/(AB$149/N$149))*D$149</f>
        <v>70.423912806439716</v>
      </c>
      <c r="E162" s="75">
        <f>((AD162*P162)/(AD$137*P$137))*100</f>
        <v>162.52636495744238</v>
      </c>
      <c r="F162" s="75">
        <f>((AF162*Q162)/(AF$137*Q$137))*100</f>
        <v>113.84639025601795</v>
      </c>
      <c r="G162" s="75">
        <v>22.929172008126766</v>
      </c>
      <c r="H162" s="75"/>
      <c r="I162" s="75"/>
      <c r="J162" s="75"/>
      <c r="K162" s="75"/>
      <c r="N162" s="85">
        <v>4.8899999999999997</v>
      </c>
      <c r="O162" s="85">
        <v>5.89</v>
      </c>
      <c r="P162" s="85">
        <v>82.15</v>
      </c>
      <c r="Q162" s="85">
        <v>10.76</v>
      </c>
      <c r="W162" s="4">
        <v>146</v>
      </c>
      <c r="Y162" s="88">
        <v>99.586351706036737</v>
      </c>
      <c r="AA162" s="90"/>
      <c r="AB162">
        <v>41</v>
      </c>
      <c r="AD162" s="91">
        <v>95.3</v>
      </c>
      <c r="AF162" s="58">
        <v>414.5</v>
      </c>
    </row>
    <row r="163" spans="1:32">
      <c r="G163" s="51"/>
      <c r="H163" s="51"/>
      <c r="I163" s="51"/>
      <c r="J163" s="51"/>
      <c r="K163" s="51"/>
      <c r="N163" s="85"/>
      <c r="O163" s="85"/>
      <c r="P163" s="85"/>
      <c r="Q163" s="85"/>
      <c r="AD163" s="91"/>
    </row>
    <row r="164" spans="1:32">
      <c r="AD164" s="91"/>
    </row>
    <row r="165" spans="1:32">
      <c r="AD165" s="91"/>
    </row>
    <row r="166" spans="1:32">
      <c r="AD166" s="91"/>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139"/>
  <sheetViews>
    <sheetView workbookViewId="0">
      <pane xSplit="1" ySplit="2" topLeftCell="B3" activePane="bottomRight" state="frozen"/>
      <selection pane="topRight" activeCell="B1" sqref="B1"/>
      <selection pane="bottomLeft" activeCell="A3" sqref="A3"/>
      <selection pane="bottomRight" activeCell="BS1" sqref="BS1:EK1048576"/>
    </sheetView>
  </sheetViews>
  <sheetFormatPr baseColWidth="10" defaultRowHeight="15"/>
  <cols>
    <col min="1" max="50" width="10.7109375" style="4"/>
    <col min="51" max="59" width="10.7109375" style="93"/>
    <col min="60" max="60" width="10.7109375" style="4"/>
    <col min="61" max="68" width="10.7109375" style="93"/>
    <col min="69" max="16384" width="10.7109375" style="4"/>
  </cols>
  <sheetData>
    <row r="1" spans="1:69">
      <c r="B1" s="33" t="s">
        <v>158</v>
      </c>
      <c r="D1" s="33" t="s">
        <v>149</v>
      </c>
      <c r="U1" s="33" t="s">
        <v>82</v>
      </c>
      <c r="AE1" s="33" t="s">
        <v>71</v>
      </c>
      <c r="AO1" s="33" t="s">
        <v>83</v>
      </c>
      <c r="AY1" s="33" t="s">
        <v>110</v>
      </c>
    </row>
    <row r="2" spans="1:69" ht="45">
      <c r="D2" s="34">
        <v>1821</v>
      </c>
      <c r="E2" s="34">
        <v>1831</v>
      </c>
      <c r="F2" s="34" t="s">
        <v>159</v>
      </c>
      <c r="G2" s="34" t="s">
        <v>160</v>
      </c>
      <c r="H2" s="4">
        <v>1841</v>
      </c>
      <c r="I2" s="4">
        <v>1851</v>
      </c>
      <c r="J2" s="4">
        <v>1861</v>
      </c>
      <c r="K2" s="4">
        <v>1871</v>
      </c>
      <c r="L2" s="4">
        <v>1881</v>
      </c>
      <c r="M2" s="4">
        <v>1891</v>
      </c>
      <c r="N2" s="4">
        <v>1901</v>
      </c>
      <c r="O2" s="4">
        <v>1911</v>
      </c>
      <c r="P2" s="4">
        <f>O2+10</f>
        <v>1921</v>
      </c>
      <c r="Q2" s="34" t="s">
        <v>80</v>
      </c>
      <c r="R2" s="4">
        <f>P2+10</f>
        <v>1931</v>
      </c>
      <c r="S2" s="4">
        <v>1939</v>
      </c>
      <c r="U2" s="94" t="s">
        <v>150</v>
      </c>
      <c r="V2" s="94" t="s">
        <v>151</v>
      </c>
      <c r="W2" s="94" t="s">
        <v>152</v>
      </c>
      <c r="X2" s="94" t="s">
        <v>153</v>
      </c>
      <c r="Y2" s="94" t="s">
        <v>154</v>
      </c>
      <c r="Z2" s="94" t="s">
        <v>155</v>
      </c>
      <c r="AA2" s="94" t="s">
        <v>156</v>
      </c>
      <c r="AB2" s="94" t="s">
        <v>157</v>
      </c>
      <c r="AC2" s="94" t="s">
        <v>81</v>
      </c>
      <c r="AE2" s="94" t="s">
        <v>150</v>
      </c>
      <c r="AF2" s="94" t="s">
        <v>151</v>
      </c>
      <c r="AG2" s="94" t="s">
        <v>152</v>
      </c>
      <c r="AH2" s="94" t="s">
        <v>153</v>
      </c>
      <c r="AI2" s="94" t="s">
        <v>154</v>
      </c>
      <c r="AJ2" s="94" t="s">
        <v>155</v>
      </c>
      <c r="AK2" s="94" t="s">
        <v>156</v>
      </c>
      <c r="AL2" s="94" t="s">
        <v>157</v>
      </c>
      <c r="AM2" s="94" t="s">
        <v>81</v>
      </c>
      <c r="AN2" s="94"/>
      <c r="AO2" s="94" t="s">
        <v>150</v>
      </c>
      <c r="AP2" s="94" t="s">
        <v>151</v>
      </c>
      <c r="AQ2" s="94" t="s">
        <v>152</v>
      </c>
      <c r="AR2" s="94" t="s">
        <v>153</v>
      </c>
      <c r="AS2" s="94" t="s">
        <v>154</v>
      </c>
      <c r="AT2" s="94" t="s">
        <v>155</v>
      </c>
      <c r="AU2" s="94" t="s">
        <v>156</v>
      </c>
      <c r="AV2" s="94" t="s">
        <v>157</v>
      </c>
      <c r="AW2" s="94" t="s">
        <v>81</v>
      </c>
      <c r="AY2" s="94" t="s">
        <v>150</v>
      </c>
      <c r="AZ2" s="94" t="s">
        <v>151</v>
      </c>
      <c r="BA2" s="94" t="s">
        <v>152</v>
      </c>
      <c r="BB2" s="94" t="s">
        <v>153</v>
      </c>
      <c r="BC2" s="94" t="s">
        <v>154</v>
      </c>
      <c r="BD2" s="94" t="s">
        <v>155</v>
      </c>
      <c r="BE2" s="94" t="s">
        <v>156</v>
      </c>
      <c r="BF2" s="94" t="s">
        <v>157</v>
      </c>
      <c r="BG2" s="94" t="s">
        <v>81</v>
      </c>
      <c r="BI2" s="94" t="s">
        <v>111</v>
      </c>
      <c r="BJ2" s="94" t="s">
        <v>112</v>
      </c>
      <c r="BK2" s="94" t="s">
        <v>113</v>
      </c>
      <c r="BL2" s="94" t="s">
        <v>114</v>
      </c>
      <c r="BM2" s="94" t="s">
        <v>119</v>
      </c>
      <c r="BN2" s="94" t="s">
        <v>115</v>
      </c>
      <c r="BO2" s="94" t="s">
        <v>116</v>
      </c>
      <c r="BP2" s="94" t="s">
        <v>117</v>
      </c>
      <c r="BQ2" s="94" t="s">
        <v>118</v>
      </c>
    </row>
    <row r="3" spans="1:69">
      <c r="A3" s="4">
        <v>1821</v>
      </c>
      <c r="U3" s="76">
        <f t="shared" ref="U3:Z3" si="0">U21</f>
        <v>0.260243006499011</v>
      </c>
      <c r="V3" s="76">
        <f t="shared" si="0"/>
        <v>0.30969200339078834</v>
      </c>
      <c r="W3" s="76">
        <f t="shared" si="0"/>
        <v>0</v>
      </c>
      <c r="X3" s="76">
        <f t="shared" si="0"/>
        <v>8.7595365922576995E-3</v>
      </c>
      <c r="Y3" s="76">
        <f t="shared" si="0"/>
        <v>0.19892625035320713</v>
      </c>
      <c r="Z3" s="76">
        <f t="shared" si="0"/>
        <v>0.16840915512856738</v>
      </c>
      <c r="AA3" s="76"/>
      <c r="AB3" s="76">
        <f>AB21</f>
        <v>5.3970048036168408E-2</v>
      </c>
      <c r="AC3" s="76"/>
      <c r="AD3" s="102"/>
    </row>
    <row r="4" spans="1:69">
      <c r="A4" s="4">
        <f>A3+10</f>
        <v>1831</v>
      </c>
      <c r="U4" s="76">
        <f>U5/(SUM($U5:$AB5)-$W5)</f>
        <v>0.24943602964872702</v>
      </c>
      <c r="V4" s="76">
        <f>V5/(SUM($U5:$AB5)-$W5)</f>
        <v>0.27457299387689332</v>
      </c>
      <c r="W4" s="76"/>
      <c r="X4" s="76">
        <f>X5/(SUM($U5:$AB5)-$W5)</f>
        <v>1.2890750886239124E-3</v>
      </c>
      <c r="Y4" s="76">
        <f>Y5/(SUM($U5:$AB5)-$W5)</f>
        <v>0.31066709635836293</v>
      </c>
      <c r="Z4" s="76">
        <f>Z5/(SUM($U5:$AB5)-$W5)</f>
        <v>0.14179825974863036</v>
      </c>
      <c r="AA4" s="76"/>
      <c r="AB4" s="76">
        <f>AB5/(SUM($U5:$AB5)-$W5)</f>
        <v>2.2236545278762489E-2</v>
      </c>
      <c r="AC4" s="76"/>
      <c r="AD4" s="102"/>
    </row>
    <row r="5" spans="1:69">
      <c r="A5" s="4" t="s">
        <v>159</v>
      </c>
      <c r="U5" s="76">
        <f t="shared" ref="U5:Z5" si="1">U6/(SUM($U6:$AB6)-$AA6)</f>
        <v>0.24895464779671919</v>
      </c>
      <c r="V5" s="76">
        <f t="shared" si="1"/>
        <v>0.27404310067545834</v>
      </c>
      <c r="W5" s="76">
        <f t="shared" si="1"/>
        <v>1.9298809906722419E-3</v>
      </c>
      <c r="X5" s="76">
        <f t="shared" si="1"/>
        <v>1.2865873271148279E-3</v>
      </c>
      <c r="Y5" s="76">
        <f t="shared" si="1"/>
        <v>0.31006754583467355</v>
      </c>
      <c r="Z5" s="76">
        <f t="shared" si="1"/>
        <v>0.14152460598263109</v>
      </c>
      <c r="AA5" s="76"/>
      <c r="AB5" s="76">
        <f>AB6/(SUM($U6:$AB6)-$AA6)</f>
        <v>2.219363139273078E-2</v>
      </c>
      <c r="AC5" s="76"/>
      <c r="AD5" s="102"/>
    </row>
    <row r="6" spans="1:69">
      <c r="A6" s="4" t="s">
        <v>160</v>
      </c>
      <c r="U6" s="76">
        <f t="shared" ref="U6:AB6" si="2">U31</f>
        <v>0.24815646040397563</v>
      </c>
      <c r="V6" s="76">
        <f t="shared" si="2"/>
        <v>0.27316447579352354</v>
      </c>
      <c r="W6" s="76">
        <f t="shared" si="2"/>
        <v>1.9236934915036871E-3</v>
      </c>
      <c r="X6" s="76">
        <f t="shared" si="2"/>
        <v>1.2824623276691247E-3</v>
      </c>
      <c r="Y6" s="76">
        <f t="shared" si="2"/>
        <v>0.30907342096825907</v>
      </c>
      <c r="Z6" s="76">
        <f t="shared" si="2"/>
        <v>0.14107085604360373</v>
      </c>
      <c r="AA6" s="87">
        <f t="shared" si="2"/>
        <v>3.2061558191728116E-3</v>
      </c>
      <c r="AB6" s="76">
        <f t="shared" si="2"/>
        <v>2.21224751522924E-2</v>
      </c>
      <c r="AC6" s="76"/>
      <c r="AD6" s="102"/>
    </row>
    <row r="7" spans="1:69">
      <c r="A7" s="4">
        <f>A4+10</f>
        <v>1841</v>
      </c>
      <c r="U7" s="76">
        <f t="shared" ref="U7:AB7" si="3">U41</f>
        <v>0.10349764778073225</v>
      </c>
      <c r="V7" s="76">
        <f t="shared" si="3"/>
        <v>0.31417467784823072</v>
      </c>
      <c r="W7" s="76">
        <f t="shared" si="3"/>
        <v>5.3180609531601553E-3</v>
      </c>
      <c r="X7" s="76">
        <f t="shared" si="3"/>
        <v>1.0227040294538761E-2</v>
      </c>
      <c r="Y7" s="76">
        <f t="shared" si="3"/>
        <v>0.47044385354878299</v>
      </c>
      <c r="Z7" s="76">
        <f t="shared" si="3"/>
        <v>7.1589282061771328E-2</v>
      </c>
      <c r="AA7" s="76">
        <f t="shared" si="3"/>
        <v>7.5680098179586831E-3</v>
      </c>
      <c r="AB7" s="76">
        <f t="shared" si="3"/>
        <v>1.7181427694825117E-2</v>
      </c>
      <c r="AC7" s="76"/>
      <c r="AD7" s="102"/>
    </row>
    <row r="8" spans="1:69">
      <c r="A8" s="4">
        <f t="shared" ref="A8:A13" si="4">A7+10</f>
        <v>1851</v>
      </c>
      <c r="U8" s="76">
        <f t="shared" ref="U8:AB8" si="5">U51</f>
        <v>9.1115564462257853E-2</v>
      </c>
      <c r="V8" s="76">
        <f t="shared" si="5"/>
        <v>0.25250501002004005</v>
      </c>
      <c r="W8" s="76">
        <f t="shared" si="5"/>
        <v>1.6700066800267203E-2</v>
      </c>
      <c r="X8" s="76">
        <f t="shared" si="5"/>
        <v>9.3520374081496327E-3</v>
      </c>
      <c r="Y8" s="76">
        <f t="shared" si="5"/>
        <v>0.52184368737474951</v>
      </c>
      <c r="Z8" s="76">
        <f t="shared" si="5"/>
        <v>7.2144288577154311E-2</v>
      </c>
      <c r="AA8" s="76">
        <f t="shared" si="5"/>
        <v>9.084836339345358E-3</v>
      </c>
      <c r="AB8" s="76">
        <f t="shared" si="5"/>
        <v>2.7254509018036072E-2</v>
      </c>
      <c r="AC8" s="76"/>
      <c r="AD8" s="102"/>
    </row>
    <row r="9" spans="1:69">
      <c r="A9" s="4">
        <f t="shared" si="4"/>
        <v>1861</v>
      </c>
      <c r="U9" s="76">
        <f t="shared" ref="U9:AB9" si="6">U61</f>
        <v>4.1529062087186264E-2</v>
      </c>
      <c r="V9" s="76">
        <f t="shared" si="6"/>
        <v>9.676354029062087E-2</v>
      </c>
      <c r="W9" s="76">
        <f t="shared" si="6"/>
        <v>2.5842140026420081E-2</v>
      </c>
      <c r="X9" s="76">
        <f t="shared" si="6"/>
        <v>1.3127476882430647E-2</v>
      </c>
      <c r="Y9" s="76">
        <f t="shared" si="6"/>
        <v>0.7070673712021136</v>
      </c>
      <c r="Z9" s="76">
        <f t="shared" si="6"/>
        <v>8.0663804491413471E-2</v>
      </c>
      <c r="AA9" s="76">
        <f t="shared" si="6"/>
        <v>1.3870541611624834E-2</v>
      </c>
      <c r="AB9" s="76">
        <f t="shared" si="6"/>
        <v>2.1136063408190225E-2</v>
      </c>
      <c r="AC9" s="76"/>
      <c r="AD9" s="102"/>
    </row>
    <row r="10" spans="1:69">
      <c r="A10" s="4">
        <f t="shared" si="4"/>
        <v>1871</v>
      </c>
      <c r="U10" s="76">
        <f t="shared" ref="U10:AB10" si="7">U71</f>
        <v>0.15183996722878404</v>
      </c>
      <c r="V10" s="76">
        <f t="shared" si="7"/>
        <v>0.1133337884891104</v>
      </c>
      <c r="W10" s="76">
        <f t="shared" si="7"/>
        <v>6.3221137434286881E-2</v>
      </c>
      <c r="X10" s="76">
        <f t="shared" si="7"/>
        <v>9.7630914180378229E-3</v>
      </c>
      <c r="Y10" s="76">
        <f t="shared" si="7"/>
        <v>0.53021096470266948</v>
      </c>
      <c r="Z10" s="76">
        <f t="shared" si="7"/>
        <v>6.8341639926264769E-2</v>
      </c>
      <c r="AA10" s="76">
        <f t="shared" si="7"/>
        <v>2.3486038096538542E-2</v>
      </c>
      <c r="AB10" s="76">
        <f t="shared" si="7"/>
        <v>3.9803372704308046E-2</v>
      </c>
      <c r="AC10" s="76"/>
      <c r="AD10" s="102"/>
    </row>
    <row r="11" spans="1:69">
      <c r="A11" s="4">
        <f t="shared" si="4"/>
        <v>1881</v>
      </c>
      <c r="U11" s="76">
        <f t="shared" ref="U11:AB11" si="8">U81</f>
        <v>2.6772011595520947E-2</v>
      </c>
      <c r="V11" s="76">
        <f t="shared" si="8"/>
        <v>0.13562212243505939</v>
      </c>
      <c r="W11" s="76">
        <f t="shared" si="8"/>
        <v>6.2013300744614336E-2</v>
      </c>
      <c r="X11" s="76">
        <f t="shared" si="8"/>
        <v>1.9098505087250611E-2</v>
      </c>
      <c r="Y11" s="76">
        <f t="shared" si="8"/>
        <v>0.65958051497754788</v>
      </c>
      <c r="Z11" s="76">
        <f t="shared" si="8"/>
        <v>4.3255840391064629E-2</v>
      </c>
      <c r="AA11" s="76">
        <f t="shared" si="8"/>
        <v>1.4153356448587506E-2</v>
      </c>
      <c r="AB11" s="76">
        <f t="shared" si="8"/>
        <v>3.9504348320354689E-2</v>
      </c>
      <c r="AC11" s="76"/>
      <c r="AD11" s="102"/>
    </row>
    <row r="12" spans="1:69">
      <c r="A12" s="4">
        <f t="shared" si="4"/>
        <v>1891</v>
      </c>
      <c r="U12" s="76">
        <f t="shared" ref="U12:AB12" si="9">U91</f>
        <v>4.2453378823711863E-2</v>
      </c>
      <c r="V12" s="76">
        <f t="shared" si="9"/>
        <v>0.10367153878959408</v>
      </c>
      <c r="W12" s="76">
        <f t="shared" si="9"/>
        <v>0.10413678129725119</v>
      </c>
      <c r="X12" s="76">
        <f t="shared" si="9"/>
        <v>1.415112627457062E-2</v>
      </c>
      <c r="Y12" s="76">
        <f t="shared" si="9"/>
        <v>0.68084363974721829</v>
      </c>
      <c r="Z12" s="76">
        <f t="shared" si="9"/>
        <v>2.9349048191369752E-2</v>
      </c>
      <c r="AA12" s="76">
        <f t="shared" si="9"/>
        <v>1.0623037258170822E-2</v>
      </c>
      <c r="AB12" s="76">
        <f t="shared" si="9"/>
        <v>1.4771449618113441E-2</v>
      </c>
      <c r="AC12" s="76"/>
      <c r="AD12" s="102"/>
    </row>
    <row r="13" spans="1:69">
      <c r="A13" s="4">
        <f t="shared" si="4"/>
        <v>1901</v>
      </c>
      <c r="U13" s="76">
        <f t="shared" ref="U13:AB13" si="10">U101</f>
        <v>1.153010354084111E-2</v>
      </c>
      <c r="V13" s="76">
        <f t="shared" si="10"/>
        <v>3.9652307298990157E-2</v>
      </c>
      <c r="W13" s="76">
        <f t="shared" si="10"/>
        <v>0.22055477438322893</v>
      </c>
      <c r="X13" s="76">
        <f t="shared" si="10"/>
        <v>2.1654096893774767E-2</v>
      </c>
      <c r="Y13" s="76">
        <f t="shared" si="10"/>
        <v>0.61303847628786912</v>
      </c>
      <c r="Z13" s="76">
        <f t="shared" si="10"/>
        <v>2.7329668924964846E-2</v>
      </c>
      <c r="AA13" s="76">
        <f t="shared" si="10"/>
        <v>2.3929438834206826E-2</v>
      </c>
      <c r="AB13" s="76">
        <f t="shared" si="10"/>
        <v>4.2311133836124247E-2</v>
      </c>
      <c r="AC13" s="76"/>
      <c r="AD13" s="102"/>
    </row>
    <row r="14" spans="1:69">
      <c r="A14" s="4">
        <f>A13+10</f>
        <v>1911</v>
      </c>
      <c r="U14" s="76">
        <f t="shared" ref="U14:AB14" si="11">U111</f>
        <v>1.5325130709746095E-2</v>
      </c>
      <c r="V14" s="76">
        <f t="shared" si="11"/>
        <v>6.4024294793525562E-3</v>
      </c>
      <c r="W14" s="76">
        <f t="shared" si="11"/>
        <v>0.23570019723865879</v>
      </c>
      <c r="X14" s="76">
        <f t="shared" si="11"/>
        <v>2.5687987226448765E-2</v>
      </c>
      <c r="Y14" s="76">
        <f t="shared" si="11"/>
        <v>0.6324316708932094</v>
      </c>
      <c r="Z14" s="76">
        <f t="shared" si="11"/>
        <v>3.8304999843461383E-2</v>
      </c>
      <c r="AA14" s="76">
        <f t="shared" si="11"/>
        <v>3.1041607964684886E-2</v>
      </c>
      <c r="AB14" s="76">
        <f t="shared" si="11"/>
        <v>1.5105976644438183E-2</v>
      </c>
      <c r="AC14" s="76"/>
      <c r="AD14" s="102"/>
    </row>
    <row r="15" spans="1:69">
      <c r="A15" s="4">
        <f>A14+10</f>
        <v>1921</v>
      </c>
      <c r="U15" s="76">
        <f t="shared" ref="U15:AB15" si="12">U16/(SUM($U16:$AB16))</f>
        <v>3.2441631654523219E-2</v>
      </c>
      <c r="V15" s="76">
        <f t="shared" si="12"/>
        <v>6.6664893899909594E-2</v>
      </c>
      <c r="W15" s="76">
        <f t="shared" si="12"/>
        <v>2.5368292293782908E-2</v>
      </c>
      <c r="X15" s="76">
        <f t="shared" si="12"/>
        <v>3.3585066212838376E-2</v>
      </c>
      <c r="Y15" s="76">
        <f t="shared" si="12"/>
        <v>0.71975216720736057</v>
      </c>
      <c r="Z15" s="76">
        <f t="shared" si="12"/>
        <v>5.2597989682497473E-2</v>
      </c>
      <c r="AA15" s="76">
        <f t="shared" si="12"/>
        <v>3.0660001063660056E-2</v>
      </c>
      <c r="AB15" s="76">
        <f t="shared" si="12"/>
        <v>3.8929957985427859E-2</v>
      </c>
      <c r="AC15" s="76"/>
      <c r="AD15" s="102"/>
    </row>
    <row r="16" spans="1:69">
      <c r="A16" s="4" t="s">
        <v>80</v>
      </c>
      <c r="U16" s="76">
        <f t="shared" ref="U16:AC16" si="13">U121</f>
        <v>2.7578100275781003E-2</v>
      </c>
      <c r="V16" s="76">
        <f t="shared" si="13"/>
        <v>5.6670735566707355E-2</v>
      </c>
      <c r="W16" s="76">
        <f t="shared" si="13"/>
        <v>2.1565170215651703E-2</v>
      </c>
      <c r="X16" s="76">
        <f t="shared" si="13"/>
        <v>2.8550115285501151E-2</v>
      </c>
      <c r="Y16" s="76">
        <f t="shared" si="13"/>
        <v>0.61184954111849543</v>
      </c>
      <c r="Z16" s="76">
        <f t="shared" si="13"/>
        <v>4.4712690447126904E-2</v>
      </c>
      <c r="AA16" s="76">
        <f t="shared" si="13"/>
        <v>2.6063565260635652E-2</v>
      </c>
      <c r="AB16" s="76">
        <f t="shared" si="13"/>
        <v>3.3093720330937201E-2</v>
      </c>
      <c r="AC16" s="76">
        <f t="shared" si="13"/>
        <v>0.14991636149916363</v>
      </c>
      <c r="AD16" s="102"/>
    </row>
    <row r="17" spans="1:69">
      <c r="A17" s="4">
        <f>A15+10</f>
        <v>1931</v>
      </c>
      <c r="U17" s="76">
        <f t="shared" ref="U17:AC17" si="14">U131</f>
        <v>1.8119598122230511E-2</v>
      </c>
      <c r="V17" s="76">
        <f t="shared" si="14"/>
        <v>1.3600666871407888E-3</v>
      </c>
      <c r="W17" s="76">
        <f t="shared" si="14"/>
        <v>8.2262098012547708E-3</v>
      </c>
      <c r="X17" s="76">
        <f t="shared" si="14"/>
        <v>3.0623437020137763E-2</v>
      </c>
      <c r="Y17" s="76">
        <f t="shared" si="14"/>
        <v>0.74812442416531388</v>
      </c>
      <c r="Z17" s="76">
        <f t="shared" si="14"/>
        <v>5.1287676040889747E-2</v>
      </c>
      <c r="AA17" s="76">
        <f t="shared" si="14"/>
        <v>2.9570482165577151E-2</v>
      </c>
      <c r="AB17" s="76">
        <f t="shared" si="14"/>
        <v>2.0971350853332165E-2</v>
      </c>
      <c r="AC17" s="76">
        <f t="shared" si="14"/>
        <v>9.1716755144123197E-2</v>
      </c>
      <c r="AD17" s="102"/>
    </row>
    <row r="18" spans="1:69">
      <c r="A18" s="4">
        <v>1939</v>
      </c>
      <c r="U18" s="76">
        <f t="shared" ref="U18:AC18" si="15">U139</f>
        <v>0.25895064864681772</v>
      </c>
      <c r="V18" s="76">
        <f t="shared" si="15"/>
        <v>5.2840158520475562E-3</v>
      </c>
      <c r="W18" s="76">
        <f t="shared" si="15"/>
        <v>1.2769704975781594E-2</v>
      </c>
      <c r="X18" s="76">
        <f t="shared" si="15"/>
        <v>5.0604613352301597E-2</v>
      </c>
      <c r="Y18" s="76">
        <f t="shared" si="15"/>
        <v>0.50442028249161674</v>
      </c>
      <c r="Z18" s="76">
        <f t="shared" si="15"/>
        <v>5.531280696406192E-2</v>
      </c>
      <c r="AA18" s="76">
        <f t="shared" si="15"/>
        <v>1.4226196524743421E-2</v>
      </c>
      <c r="AB18" s="76">
        <f t="shared" si="15"/>
        <v>2.1779629441452428E-2</v>
      </c>
      <c r="AC18" s="76">
        <f t="shared" si="15"/>
        <v>7.6652101751177051E-2</v>
      </c>
      <c r="AD18" s="102"/>
    </row>
    <row r="19" spans="1:69">
      <c r="AE19" s="76"/>
      <c r="AF19" s="76"/>
      <c r="AG19" s="76"/>
      <c r="AH19" s="76"/>
      <c r="AI19" s="76"/>
      <c r="AJ19" s="76"/>
      <c r="AK19" s="76"/>
      <c r="AL19" s="76"/>
      <c r="AM19" s="76"/>
      <c r="AN19" s="76"/>
    </row>
    <row r="21" spans="1:69">
      <c r="A21" s="4">
        <v>1821</v>
      </c>
      <c r="B21" s="95">
        <f t="shared" ref="B21:B30" si="16">(GEOMEAN(D21:E21)/GEOMEAN(D$31:E$31))*B$32</f>
        <v>148.42427715404403</v>
      </c>
      <c r="D21" s="51">
        <f t="shared" ref="D21:D31" si="17">(AF21^V$3)*(AH21^X$3)*(AI21^Y$3)*(AJ21^Z$3)*(AL21^AB$3)*(AE21^U$3)</f>
        <v>73.36426096810618</v>
      </c>
      <c r="E21" s="51">
        <f t="shared" ref="E21:E27" si="18">(AF21^V$4)*(AH21^X$4)*(AI21^Y$4)*(AJ21^Z$4)*(AL21^AB$4)*(AE21^U$4)</f>
        <v>85.404373619403131</v>
      </c>
      <c r="F21" s="51"/>
      <c r="G21" s="51"/>
      <c r="Q21" s="51"/>
      <c r="U21" s="76">
        <f t="shared" ref="U21:U52" si="19">AY21/SUM($AY21:$BF21)</f>
        <v>0.260243006499011</v>
      </c>
      <c r="V21" s="76">
        <f t="shared" ref="V21:V52" si="20">AZ21/SUM($AY21:$BF21)</f>
        <v>0.30969200339078834</v>
      </c>
      <c r="W21" s="76">
        <f t="shared" ref="W21:W52" si="21">BA21/SUM($AY21:$BF21)</f>
        <v>0</v>
      </c>
      <c r="X21" s="76">
        <f t="shared" ref="X21:X52" si="22">BB21/SUM($AY21:$BF21)</f>
        <v>8.7595365922576995E-3</v>
      </c>
      <c r="Y21" s="76">
        <f t="shared" ref="Y21:Y52" si="23">BC21/SUM($AY21:$BF21)</f>
        <v>0.19892625035320713</v>
      </c>
      <c r="Z21" s="76">
        <f t="shared" ref="Z21:Z52" si="24">BD21/SUM($AY21:$BF21)</f>
        <v>0.16840915512856738</v>
      </c>
      <c r="AA21" s="76">
        <f t="shared" ref="AA21:AA52" si="25">BE21/SUM($AY21:$BF21)</f>
        <v>0</v>
      </c>
      <c r="AB21" s="76">
        <f t="shared" ref="AB21:AB52" si="26">BF21/SUM($AY21:$BF21)</f>
        <v>5.3970048036168408E-2</v>
      </c>
      <c r="AC21" s="76">
        <f t="shared" ref="AC21:AC52" si="27">BG21/SUM($AY21:$BF21)</f>
        <v>0</v>
      </c>
      <c r="AE21" s="76">
        <f t="shared" ref="AE21:AE52" si="28">(AO21/AO$118)*100</f>
        <v>42.886854733492221</v>
      </c>
      <c r="AF21" s="76">
        <f t="shared" ref="AF21:AF52" si="29">(AP21/AP$118)*100</f>
        <v>66.013891960934359</v>
      </c>
      <c r="AG21" s="76"/>
      <c r="AH21" s="76">
        <f t="shared" ref="AH21:AH52" si="30">(AR21/AR$118)*100</f>
        <v>59.192630607226008</v>
      </c>
      <c r="AI21" s="76">
        <f t="shared" ref="AI21:AI52" si="31">(AS21/AS$118)*100</f>
        <v>213.03812377126633</v>
      </c>
      <c r="AJ21" s="76">
        <f t="shared" ref="AJ21:AJ52" si="32">(AT21/AT$118)*100</f>
        <v>72.879095913730922</v>
      </c>
      <c r="AK21" s="76"/>
      <c r="AL21" s="76">
        <f t="shared" ref="AL21:AL52" si="33">(AV21/AV$118)*100</f>
        <v>37.199804706433568</v>
      </c>
      <c r="AM21" s="76"/>
      <c r="AN21" s="76"/>
      <c r="AO21" s="76">
        <f t="shared" ref="AO21:AO52" si="34">AY21/BI21</f>
        <v>8.6633430533345879E-2</v>
      </c>
      <c r="AP21" s="76">
        <f t="shared" ref="AP21:AP52" si="35">AZ21/BJ21</f>
        <v>3.1164695177434032E-2</v>
      </c>
      <c r="AQ21" s="76"/>
      <c r="AR21" s="76">
        <f t="shared" ref="AR21:AR52" si="36">BB21/BL21</f>
        <v>3.0511811023622049E-2</v>
      </c>
      <c r="AS21" s="76">
        <f t="shared" ref="AS21:AS52" si="37">BC21/BM21</f>
        <v>5.4573643410852712</v>
      </c>
      <c r="AT21" s="76">
        <f t="shared" ref="AT21:AT52" si="38">BD21/BN21</f>
        <v>6.9830111306385473E-2</v>
      </c>
      <c r="AV21" s="76">
        <f t="shared" ref="AV21:AV52" si="39">BF21/BP21</f>
        <v>2.8292104873352097E-2</v>
      </c>
      <c r="AW21" s="76"/>
      <c r="AY21" s="97">
        <v>921</v>
      </c>
      <c r="AZ21" s="97">
        <v>1096</v>
      </c>
      <c r="BA21" s="98"/>
      <c r="BB21" s="97">
        <v>31</v>
      </c>
      <c r="BC21" s="97">
        <v>704</v>
      </c>
      <c r="BD21" s="97">
        <v>596</v>
      </c>
      <c r="BE21" s="98"/>
      <c r="BF21" s="97">
        <v>191</v>
      </c>
      <c r="BG21" s="97"/>
      <c r="BI21" s="99">
        <v>10631</v>
      </c>
      <c r="BJ21" s="99">
        <v>35168</v>
      </c>
      <c r="BK21" s="99">
        <v>31</v>
      </c>
      <c r="BL21" s="99">
        <v>1016</v>
      </c>
      <c r="BM21" s="99">
        <v>129</v>
      </c>
      <c r="BN21" s="99">
        <v>8535</v>
      </c>
      <c r="BO21" s="100"/>
      <c r="BP21" s="99">
        <v>6751</v>
      </c>
      <c r="BQ21" s="101"/>
    </row>
    <row r="22" spans="1:69">
      <c r="A22" s="4">
        <v>1822</v>
      </c>
      <c r="B22" s="95">
        <f t="shared" si="16"/>
        <v>118.34088677957831</v>
      </c>
      <c r="D22" s="51">
        <f t="shared" si="17"/>
        <v>58.7619966161623</v>
      </c>
      <c r="E22" s="51">
        <f t="shared" si="18"/>
        <v>67.784105379005553</v>
      </c>
      <c r="F22" s="51"/>
      <c r="G22" s="51"/>
      <c r="Q22" s="51"/>
      <c r="U22" s="76">
        <f t="shared" si="19"/>
        <v>0.29930534581697371</v>
      </c>
      <c r="V22" s="76">
        <f t="shared" si="20"/>
        <v>0.22379945635759591</v>
      </c>
      <c r="W22" s="76">
        <f t="shared" si="21"/>
        <v>0</v>
      </c>
      <c r="X22" s="76">
        <f t="shared" si="22"/>
        <v>5.4364240410752036E-3</v>
      </c>
      <c r="Y22" s="76">
        <f t="shared" si="23"/>
        <v>0.23829658713379642</v>
      </c>
      <c r="Z22" s="76">
        <f t="shared" si="24"/>
        <v>0.19752340682573241</v>
      </c>
      <c r="AA22" s="76">
        <f t="shared" si="25"/>
        <v>0</v>
      </c>
      <c r="AB22" s="76">
        <f t="shared" si="26"/>
        <v>3.5638779824826335E-2</v>
      </c>
      <c r="AC22" s="76">
        <f t="shared" si="27"/>
        <v>0</v>
      </c>
      <c r="AE22" s="76">
        <f t="shared" si="28"/>
        <v>37.769098808798283</v>
      </c>
      <c r="AF22" s="76">
        <f t="shared" si="29"/>
        <v>42.775550364179381</v>
      </c>
      <c r="AG22" s="76"/>
      <c r="AH22" s="76">
        <f t="shared" si="30"/>
        <v>51.052387688405446</v>
      </c>
      <c r="AI22" s="76">
        <f t="shared" si="31"/>
        <v>165.59165197002733</v>
      </c>
      <c r="AJ22" s="76">
        <f t="shared" si="32"/>
        <v>72.373611638096165</v>
      </c>
      <c r="AK22" s="76"/>
      <c r="AL22" s="76">
        <f t="shared" si="33"/>
        <v>35.906505578660273</v>
      </c>
      <c r="AM22" s="76"/>
      <c r="AN22" s="76"/>
      <c r="AO22" s="76">
        <f t="shared" si="34"/>
        <v>7.6295326814997302E-2</v>
      </c>
      <c r="AP22" s="76">
        <f t="shared" si="35"/>
        <v>2.0194037172289746E-2</v>
      </c>
      <c r="AQ22" s="76"/>
      <c r="AR22" s="76">
        <f t="shared" si="36"/>
        <v>2.6315789473684209E-2</v>
      </c>
      <c r="AS22" s="76">
        <f t="shared" si="37"/>
        <v>4.241935483870968</v>
      </c>
      <c r="AT22" s="76">
        <f t="shared" si="38"/>
        <v>6.9345774573215987E-2</v>
      </c>
      <c r="AV22" s="76">
        <f t="shared" si="39"/>
        <v>2.7308493404304558E-2</v>
      </c>
      <c r="AW22" s="76"/>
      <c r="AY22" s="97">
        <v>991</v>
      </c>
      <c r="AZ22" s="97">
        <v>741</v>
      </c>
      <c r="BA22" s="98"/>
      <c r="BB22" s="97">
        <v>18</v>
      </c>
      <c r="BC22" s="97">
        <v>789</v>
      </c>
      <c r="BD22" s="97">
        <v>654</v>
      </c>
      <c r="BE22" s="98"/>
      <c r="BF22" s="97">
        <v>118</v>
      </c>
      <c r="BG22" s="97"/>
      <c r="BI22" s="99">
        <v>12989</v>
      </c>
      <c r="BJ22" s="99">
        <v>36694</v>
      </c>
      <c r="BK22" s="99">
        <v>51</v>
      </c>
      <c r="BL22" s="99">
        <v>684</v>
      </c>
      <c r="BM22" s="99">
        <v>186</v>
      </c>
      <c r="BN22" s="99">
        <v>9431</v>
      </c>
      <c r="BO22" s="100"/>
      <c r="BP22" s="99">
        <v>4321</v>
      </c>
      <c r="BQ22" s="101"/>
    </row>
    <row r="23" spans="1:69">
      <c r="A23" s="4">
        <v>1823</v>
      </c>
      <c r="B23" s="95">
        <f t="shared" si="16"/>
        <v>133.87006578625414</v>
      </c>
      <c r="D23" s="51">
        <f t="shared" si="17"/>
        <v>67.363045826386099</v>
      </c>
      <c r="E23" s="51">
        <f t="shared" si="18"/>
        <v>75.66586684208751</v>
      </c>
      <c r="F23" s="51"/>
      <c r="G23" s="51"/>
      <c r="Q23" s="51"/>
      <c r="U23" s="76">
        <f t="shared" si="19"/>
        <v>0.22528130237012209</v>
      </c>
      <c r="V23" s="76">
        <f t="shared" si="20"/>
        <v>0.42590375867847735</v>
      </c>
      <c r="W23" s="76">
        <f t="shared" si="21"/>
        <v>0</v>
      </c>
      <c r="X23" s="76">
        <f t="shared" si="22"/>
        <v>3.8305003591094086E-3</v>
      </c>
      <c r="Y23" s="76">
        <f t="shared" si="23"/>
        <v>0.21019870720612879</v>
      </c>
      <c r="Z23" s="76">
        <f t="shared" si="24"/>
        <v>0.1101268853243955</v>
      </c>
      <c r="AA23" s="76">
        <f t="shared" si="25"/>
        <v>0</v>
      </c>
      <c r="AB23" s="76">
        <f t="shared" si="26"/>
        <v>2.4658846061766819E-2</v>
      </c>
      <c r="AC23" s="76">
        <f t="shared" si="27"/>
        <v>0</v>
      </c>
      <c r="AE23" s="76">
        <f t="shared" si="28"/>
        <v>36.991258320537945</v>
      </c>
      <c r="AF23" s="76">
        <f t="shared" si="29"/>
        <v>70.371537175681212</v>
      </c>
      <c r="AG23" s="76"/>
      <c r="AH23" s="76">
        <f t="shared" si="30"/>
        <v>43.473181673039932</v>
      </c>
      <c r="AI23" s="76">
        <f t="shared" si="31"/>
        <v>151.65630012181447</v>
      </c>
      <c r="AJ23" s="76">
        <f t="shared" si="32"/>
        <v>75.68736091968924</v>
      </c>
      <c r="AK23" s="76"/>
      <c r="AL23" s="76">
        <f t="shared" si="33"/>
        <v>35.378604334598052</v>
      </c>
      <c r="AM23" s="76"/>
      <c r="AN23" s="76"/>
      <c r="AO23" s="76">
        <f t="shared" si="34"/>
        <v>7.4724053045342645E-2</v>
      </c>
      <c r="AP23" s="76">
        <f t="shared" si="35"/>
        <v>3.3221908905861922E-2</v>
      </c>
      <c r="AQ23" s="76"/>
      <c r="AR23" s="76">
        <f t="shared" si="36"/>
        <v>2.2408963585434174E-2</v>
      </c>
      <c r="AS23" s="76">
        <f t="shared" si="37"/>
        <v>3.8849557522123894</v>
      </c>
      <c r="AT23" s="76">
        <f t="shared" si="38"/>
        <v>7.2520889169162855E-2</v>
      </c>
      <c r="AV23" s="76">
        <f t="shared" si="39"/>
        <v>2.6907001044932079E-2</v>
      </c>
      <c r="AW23" s="76"/>
      <c r="AY23" s="97">
        <v>941</v>
      </c>
      <c r="AZ23" s="97">
        <v>1779</v>
      </c>
      <c r="BA23" s="98"/>
      <c r="BB23" s="97">
        <v>16</v>
      </c>
      <c r="BC23" s="97">
        <v>878</v>
      </c>
      <c r="BD23" s="97">
        <v>460</v>
      </c>
      <c r="BE23" s="98"/>
      <c r="BF23" s="97">
        <v>103</v>
      </c>
      <c r="BG23" s="97"/>
      <c r="BI23" s="99">
        <v>12593</v>
      </c>
      <c r="BJ23" s="99">
        <v>53549</v>
      </c>
      <c r="BK23" s="99">
        <v>91</v>
      </c>
      <c r="BL23" s="99">
        <v>714</v>
      </c>
      <c r="BM23" s="99">
        <v>226</v>
      </c>
      <c r="BN23" s="99">
        <v>6343</v>
      </c>
      <c r="BO23" s="100"/>
      <c r="BP23" s="99">
        <v>3828</v>
      </c>
      <c r="BQ23" s="101"/>
    </row>
    <row r="24" spans="1:69">
      <c r="A24" s="4">
        <v>1824</v>
      </c>
      <c r="B24" s="95">
        <f t="shared" si="16"/>
        <v>102.22868280017558</v>
      </c>
      <c r="D24" s="51">
        <f t="shared" si="17"/>
        <v>52.084413727207959</v>
      </c>
      <c r="E24" s="51">
        <f t="shared" si="18"/>
        <v>57.067983078658827</v>
      </c>
      <c r="F24" s="51"/>
      <c r="G24" s="51"/>
      <c r="Q24" s="51"/>
      <c r="U24" s="76">
        <f t="shared" si="19"/>
        <v>0.29238249594813615</v>
      </c>
      <c r="V24" s="76">
        <f t="shared" si="20"/>
        <v>0.29303079416531602</v>
      </c>
      <c r="W24" s="76">
        <f t="shared" si="21"/>
        <v>0</v>
      </c>
      <c r="X24" s="76">
        <f t="shared" si="22"/>
        <v>8.1037277147487843E-3</v>
      </c>
      <c r="Y24" s="76">
        <f t="shared" si="23"/>
        <v>0.22820097244732576</v>
      </c>
      <c r="Z24" s="76">
        <f t="shared" si="24"/>
        <v>0.12771474878444083</v>
      </c>
      <c r="AA24" s="76">
        <f t="shared" si="25"/>
        <v>0</v>
      </c>
      <c r="AB24" s="76">
        <f t="shared" si="26"/>
        <v>5.0567260940032416E-2</v>
      </c>
      <c r="AC24" s="76">
        <f t="shared" si="27"/>
        <v>0</v>
      </c>
      <c r="AE24" s="76">
        <f t="shared" si="28"/>
        <v>37.191773070207901</v>
      </c>
      <c r="AF24" s="76">
        <f t="shared" si="29"/>
        <v>42.575529403270025</v>
      </c>
      <c r="AG24" s="76"/>
      <c r="AH24" s="76">
        <f t="shared" si="30"/>
        <v>38.768799603505336</v>
      </c>
      <c r="AI24" s="76">
        <f t="shared" si="31"/>
        <v>100.29897068063269</v>
      </c>
      <c r="AJ24" s="76">
        <f t="shared" si="32"/>
        <v>67.102346514769707</v>
      </c>
      <c r="AK24" s="76"/>
      <c r="AL24" s="76">
        <f t="shared" si="33"/>
        <v>35.715865821089501</v>
      </c>
      <c r="AM24" s="76"/>
      <c r="AN24" s="76"/>
      <c r="AO24" s="76">
        <f t="shared" si="34"/>
        <v>7.5129102115608859E-2</v>
      </c>
      <c r="AP24" s="76">
        <f t="shared" si="35"/>
        <v>2.0099608680184986E-2</v>
      </c>
      <c r="AQ24" s="76"/>
      <c r="AR24" s="76">
        <f t="shared" si="36"/>
        <v>1.9984012789768184E-2</v>
      </c>
      <c r="AS24" s="76">
        <f t="shared" si="37"/>
        <v>2.5693430656934306</v>
      </c>
      <c r="AT24" s="76">
        <f t="shared" si="38"/>
        <v>6.4295039164490864E-2</v>
      </c>
      <c r="AV24" s="76">
        <f t="shared" si="39"/>
        <v>2.7163503395437924E-2</v>
      </c>
      <c r="AW24" s="76"/>
      <c r="AY24" s="97">
        <v>902</v>
      </c>
      <c r="AZ24" s="97">
        <v>904</v>
      </c>
      <c r="BA24" s="98"/>
      <c r="BB24" s="97">
        <v>25</v>
      </c>
      <c r="BC24" s="97">
        <v>704</v>
      </c>
      <c r="BD24" s="97">
        <v>394</v>
      </c>
      <c r="BE24" s="98"/>
      <c r="BF24" s="97">
        <v>156</v>
      </c>
      <c r="BG24" s="97"/>
      <c r="BI24" s="99">
        <v>12006</v>
      </c>
      <c r="BJ24" s="99">
        <v>44976</v>
      </c>
      <c r="BK24" s="99">
        <v>156</v>
      </c>
      <c r="BL24" s="99">
        <v>1251</v>
      </c>
      <c r="BM24" s="99">
        <v>274</v>
      </c>
      <c r="BN24" s="99">
        <v>6128</v>
      </c>
      <c r="BO24" s="100"/>
      <c r="BP24" s="99">
        <v>5743</v>
      </c>
      <c r="BQ24" s="101"/>
    </row>
    <row r="25" spans="1:69">
      <c r="A25" s="4">
        <v>1825</v>
      </c>
      <c r="B25" s="95">
        <f t="shared" si="16"/>
        <v>126.82865949690972</v>
      </c>
      <c r="D25" s="51">
        <f t="shared" si="17"/>
        <v>65.072353863826308</v>
      </c>
      <c r="E25" s="51">
        <f t="shared" si="18"/>
        <v>70.306108735671586</v>
      </c>
      <c r="F25" s="51"/>
      <c r="G25" s="51"/>
      <c r="Q25" s="51"/>
      <c r="U25" s="76">
        <f t="shared" si="19"/>
        <v>0.37169761967041592</v>
      </c>
      <c r="V25" s="76">
        <f t="shared" si="20"/>
        <v>0.27674601098613655</v>
      </c>
      <c r="W25" s="76">
        <f t="shared" si="21"/>
        <v>0</v>
      </c>
      <c r="X25" s="76">
        <f t="shared" si="22"/>
        <v>9.4166884645566305E-3</v>
      </c>
      <c r="Y25" s="76">
        <f t="shared" si="23"/>
        <v>0.16296102537274393</v>
      </c>
      <c r="Z25" s="76">
        <f t="shared" si="24"/>
        <v>0.15249803818990321</v>
      </c>
      <c r="AA25" s="76">
        <f t="shared" si="25"/>
        <v>0</v>
      </c>
      <c r="AB25" s="76">
        <f t="shared" si="26"/>
        <v>2.6680617316243788E-2</v>
      </c>
      <c r="AC25" s="76">
        <f t="shared" si="27"/>
        <v>0</v>
      </c>
      <c r="AE25" s="76">
        <f t="shared" si="28"/>
        <v>45.557233122286206</v>
      </c>
      <c r="AF25" s="76">
        <f t="shared" si="29"/>
        <v>63.155810477288746</v>
      </c>
      <c r="AG25" s="76"/>
      <c r="AH25" s="76">
        <f t="shared" si="30"/>
        <v>45.203667545461911</v>
      </c>
      <c r="AI25" s="76">
        <f t="shared" si="31"/>
        <v>108.57114253453075</v>
      </c>
      <c r="AJ25" s="76">
        <f t="shared" si="32"/>
        <v>79.536662225865953</v>
      </c>
      <c r="AK25" s="76"/>
      <c r="AL25" s="76">
        <f t="shared" si="33"/>
        <v>37.048190565010508</v>
      </c>
      <c r="AM25" s="76"/>
      <c r="AN25" s="76"/>
      <c r="AO25" s="76">
        <f t="shared" si="34"/>
        <v>9.202771841201994E-2</v>
      </c>
      <c r="AP25" s="76">
        <f t="shared" si="35"/>
        <v>2.9815414964069326E-2</v>
      </c>
      <c r="AQ25" s="76"/>
      <c r="AR25" s="76">
        <f t="shared" si="36"/>
        <v>2.3300970873786409E-2</v>
      </c>
      <c r="AS25" s="76">
        <f t="shared" si="37"/>
        <v>2.78125</v>
      </c>
      <c r="AT25" s="76">
        <f t="shared" si="38"/>
        <v>7.6209150326797384E-2</v>
      </c>
      <c r="AV25" s="76">
        <f t="shared" si="39"/>
        <v>2.8176795580110499E-2</v>
      </c>
      <c r="AW25" s="76"/>
      <c r="AY25" s="97">
        <v>1421</v>
      </c>
      <c r="AZ25" s="97">
        <v>1058</v>
      </c>
      <c r="BA25" s="98"/>
      <c r="BB25" s="97">
        <v>36</v>
      </c>
      <c r="BC25" s="97">
        <v>623</v>
      </c>
      <c r="BD25" s="97">
        <v>583</v>
      </c>
      <c r="BE25" s="98"/>
      <c r="BF25" s="97">
        <v>102</v>
      </c>
      <c r="BG25" s="97"/>
      <c r="BI25" s="99">
        <v>15441</v>
      </c>
      <c r="BJ25" s="99">
        <v>35485</v>
      </c>
      <c r="BK25" s="99">
        <v>145</v>
      </c>
      <c r="BL25" s="99">
        <v>1545</v>
      </c>
      <c r="BM25" s="99">
        <v>224</v>
      </c>
      <c r="BN25" s="99">
        <v>7650</v>
      </c>
      <c r="BO25" s="100"/>
      <c r="BP25" s="99">
        <v>3620</v>
      </c>
      <c r="BQ25" s="101"/>
    </row>
    <row r="26" spans="1:69">
      <c r="A26" s="4">
        <v>1826</v>
      </c>
      <c r="B26" s="95">
        <f t="shared" si="16"/>
        <v>107.72222701201039</v>
      </c>
      <c r="D26" s="51">
        <f t="shared" si="17"/>
        <v>55.745078225214201</v>
      </c>
      <c r="E26" s="51">
        <f t="shared" si="18"/>
        <v>59.205068935733841</v>
      </c>
      <c r="F26" s="51"/>
      <c r="G26" s="51"/>
      <c r="Q26" s="51"/>
      <c r="U26" s="76">
        <f t="shared" si="19"/>
        <v>0.13204801746089487</v>
      </c>
      <c r="V26" s="76">
        <f t="shared" si="20"/>
        <v>0.35794834485267368</v>
      </c>
      <c r="W26" s="76">
        <f t="shared" si="21"/>
        <v>0</v>
      </c>
      <c r="X26" s="76">
        <f t="shared" si="22"/>
        <v>1.2004365223717716E-2</v>
      </c>
      <c r="Y26" s="76">
        <f t="shared" si="23"/>
        <v>0.25100036376864315</v>
      </c>
      <c r="Z26" s="76">
        <f t="shared" si="24"/>
        <v>0.23353946889778102</v>
      </c>
      <c r="AA26" s="76">
        <f t="shared" si="25"/>
        <v>0</v>
      </c>
      <c r="AB26" s="76">
        <f t="shared" si="26"/>
        <v>1.345943979628956E-2</v>
      </c>
      <c r="AC26" s="76">
        <f t="shared" si="27"/>
        <v>0</v>
      </c>
      <c r="AE26" s="76">
        <f t="shared" si="28"/>
        <v>35.076879750504013</v>
      </c>
      <c r="AF26" s="76">
        <f t="shared" si="29"/>
        <v>58.862896158102714</v>
      </c>
      <c r="AG26" s="76"/>
      <c r="AH26" s="76">
        <f t="shared" si="30"/>
        <v>39.665238018129138</v>
      </c>
      <c r="AI26" s="76">
        <f t="shared" si="31"/>
        <v>84.702523749644527</v>
      </c>
      <c r="AJ26" s="76">
        <f t="shared" si="32"/>
        <v>75.149346865752833</v>
      </c>
      <c r="AK26" s="76"/>
      <c r="AL26" s="76">
        <f t="shared" si="33"/>
        <v>33.90199251402273</v>
      </c>
      <c r="AM26" s="76"/>
      <c r="AN26" s="76"/>
      <c r="AO26" s="76">
        <f t="shared" si="34"/>
        <v>7.0856919773570171E-2</v>
      </c>
      <c r="AP26" s="76">
        <f t="shared" si="35"/>
        <v>2.7788760237221124E-2</v>
      </c>
      <c r="AQ26" s="76"/>
      <c r="AR26" s="76">
        <f t="shared" si="36"/>
        <v>2.0446096654275093E-2</v>
      </c>
      <c r="AS26" s="76">
        <f t="shared" si="37"/>
        <v>2.1698113207547172</v>
      </c>
      <c r="AT26" s="76">
        <f t="shared" si="38"/>
        <v>7.2005383580080753E-2</v>
      </c>
      <c r="AV26" s="76">
        <f t="shared" si="39"/>
        <v>2.5783972125435539E-2</v>
      </c>
      <c r="AW26" s="76"/>
      <c r="AY26" s="97">
        <v>363</v>
      </c>
      <c r="AZ26" s="97">
        <v>984</v>
      </c>
      <c r="BA26" s="98"/>
      <c r="BB26" s="97">
        <v>33</v>
      </c>
      <c r="BC26" s="97">
        <v>690</v>
      </c>
      <c r="BD26" s="97">
        <v>642</v>
      </c>
      <c r="BE26" s="98"/>
      <c r="BF26" s="97">
        <v>37</v>
      </c>
      <c r="BG26" s="97"/>
      <c r="BI26" s="99">
        <v>5123</v>
      </c>
      <c r="BJ26" s="99">
        <v>35410</v>
      </c>
      <c r="BK26" s="99">
        <v>151</v>
      </c>
      <c r="BL26" s="99">
        <v>1614</v>
      </c>
      <c r="BM26" s="99">
        <v>318</v>
      </c>
      <c r="BN26" s="99">
        <v>8916</v>
      </c>
      <c r="BO26" s="100"/>
      <c r="BP26" s="99">
        <v>1435</v>
      </c>
      <c r="BQ26" s="101"/>
    </row>
    <row r="27" spans="1:69">
      <c r="A27" s="4">
        <v>1827</v>
      </c>
      <c r="B27" s="95">
        <f t="shared" si="16"/>
        <v>95.31604137865078</v>
      </c>
      <c r="D27" s="51">
        <f t="shared" si="17"/>
        <v>49.465545381397256</v>
      </c>
      <c r="E27" s="51">
        <f t="shared" si="18"/>
        <v>52.237690303312668</v>
      </c>
      <c r="F27" s="51">
        <f>(AF27^V$5)*(AH27^X$5)*(AI27^Y$5)*(AJ27^Z$5)*(AL27^AB$5)*(AG27^W$5)*(AE27^U$5)</f>
        <v>52.008308759313351</v>
      </c>
      <c r="G27" s="51"/>
      <c r="Q27" s="51"/>
      <c r="U27" s="76">
        <f t="shared" si="19"/>
        <v>0.1757448089076136</v>
      </c>
      <c r="V27" s="76">
        <f t="shared" si="20"/>
        <v>0.41077339753235026</v>
      </c>
      <c r="W27" s="76">
        <f t="shared" si="21"/>
        <v>3.0093289196509181E-4</v>
      </c>
      <c r="X27" s="76">
        <f t="shared" si="22"/>
        <v>8.4261209750225701E-3</v>
      </c>
      <c r="Y27" s="76">
        <f t="shared" si="23"/>
        <v>0.23292205838098104</v>
      </c>
      <c r="Z27" s="76">
        <f t="shared" si="24"/>
        <v>0.15167017755040627</v>
      </c>
      <c r="AA27" s="76">
        <f t="shared" si="25"/>
        <v>0</v>
      </c>
      <c r="AB27" s="76">
        <f t="shared" si="26"/>
        <v>2.0162503761661149E-2</v>
      </c>
      <c r="AC27" s="76">
        <f t="shared" si="27"/>
        <v>0</v>
      </c>
      <c r="AE27" s="76">
        <f t="shared" si="28"/>
        <v>28.62115533871259</v>
      </c>
      <c r="AF27" s="76">
        <f t="shared" si="29"/>
        <v>57.274321191200315</v>
      </c>
      <c r="AG27" s="76">
        <f t="shared" ref="AG27:AG58" si="40">(AQ27/AQ$118)*100</f>
        <v>5.341284503637957</v>
      </c>
      <c r="AH27" s="76">
        <f t="shared" si="30"/>
        <v>27.214298847927555</v>
      </c>
      <c r="AI27" s="76">
        <f t="shared" si="31"/>
        <v>70.266267527965979</v>
      </c>
      <c r="AJ27" s="76">
        <f t="shared" si="32"/>
        <v>73.960362424209166</v>
      </c>
      <c r="AK27" s="76"/>
      <c r="AL27" s="76">
        <f t="shared" si="33"/>
        <v>25.698595590058943</v>
      </c>
      <c r="AM27" s="76"/>
      <c r="AN27" s="76"/>
      <c r="AO27" s="76">
        <f t="shared" si="34"/>
        <v>5.7816057816057816E-2</v>
      </c>
      <c r="AP27" s="76">
        <f t="shared" si="35"/>
        <v>2.703880514232514E-2</v>
      </c>
      <c r="AQ27" s="76">
        <f t="shared" ref="AQ27:AQ58" si="41">BA27/BK27</f>
        <v>9.9009900990099011E-3</v>
      </c>
      <c r="AR27" s="76">
        <f t="shared" si="36"/>
        <v>1.4028056112224449E-2</v>
      </c>
      <c r="AS27" s="76">
        <f t="shared" si="37"/>
        <v>1.8</v>
      </c>
      <c r="AT27" s="76">
        <f t="shared" si="38"/>
        <v>7.0866141732283464E-2</v>
      </c>
      <c r="AV27" s="76">
        <f t="shared" si="39"/>
        <v>1.9544924154025672E-2</v>
      </c>
      <c r="AW27" s="76"/>
      <c r="AY27" s="97">
        <v>584</v>
      </c>
      <c r="AZ27" s="97">
        <v>1365</v>
      </c>
      <c r="BA27" s="97">
        <v>1</v>
      </c>
      <c r="BB27" s="97">
        <v>28</v>
      </c>
      <c r="BC27" s="97">
        <v>774</v>
      </c>
      <c r="BD27" s="97">
        <v>504</v>
      </c>
      <c r="BE27" s="98"/>
      <c r="BF27" s="97">
        <v>67</v>
      </c>
      <c r="BG27" s="97"/>
      <c r="BI27" s="99">
        <v>10101</v>
      </c>
      <c r="BJ27" s="99">
        <v>50483</v>
      </c>
      <c r="BK27" s="99">
        <v>101</v>
      </c>
      <c r="BL27" s="99">
        <v>1996</v>
      </c>
      <c r="BM27" s="99">
        <v>430</v>
      </c>
      <c r="BN27" s="99">
        <v>7112</v>
      </c>
      <c r="BO27" s="100"/>
      <c r="BP27" s="99">
        <v>3428</v>
      </c>
      <c r="BQ27" s="101"/>
    </row>
    <row r="28" spans="1:69">
      <c r="A28" s="4">
        <v>1828</v>
      </c>
      <c r="B28" s="95">
        <f t="shared" si="16"/>
        <v>88.952117792549188</v>
      </c>
      <c r="D28" s="51">
        <f t="shared" si="17"/>
        <v>46.603258418268467</v>
      </c>
      <c r="E28" s="51">
        <f>(F28/F$27)*E$27</f>
        <v>48.289318417797134</v>
      </c>
      <c r="F28" s="51">
        <f>(AF28^V$5)*(AH28^X$5)*(AI28^Y$5)*(AJ28^Z$5)*(AL28^AB$5)*(AG28^W$5)*(AE28^U$5)</f>
        <v>48.077274616606203</v>
      </c>
      <c r="G28" s="51"/>
      <c r="Q28" s="51"/>
      <c r="U28" s="76">
        <f t="shared" si="19"/>
        <v>0.17860878661087867</v>
      </c>
      <c r="V28" s="76">
        <f t="shared" si="20"/>
        <v>0.52013598326359833</v>
      </c>
      <c r="W28" s="76">
        <f t="shared" si="21"/>
        <v>7.8451882845188283E-4</v>
      </c>
      <c r="X28" s="76">
        <f t="shared" si="22"/>
        <v>1.5690376569037657E-3</v>
      </c>
      <c r="Y28" s="76">
        <f t="shared" si="23"/>
        <v>0.17233263598326359</v>
      </c>
      <c r="Z28" s="76">
        <f t="shared" si="24"/>
        <v>9.9633891213389128E-2</v>
      </c>
      <c r="AA28" s="76">
        <f t="shared" si="25"/>
        <v>0</v>
      </c>
      <c r="AB28" s="76">
        <f t="shared" si="26"/>
        <v>2.6935146443514645E-2</v>
      </c>
      <c r="AC28" s="76">
        <f t="shared" si="27"/>
        <v>0</v>
      </c>
      <c r="AE28" s="76">
        <f t="shared" si="28"/>
        <v>24.954688073089535</v>
      </c>
      <c r="AF28" s="76">
        <f t="shared" si="29"/>
        <v>62.28697193015379</v>
      </c>
      <c r="AG28" s="76">
        <f t="shared" si="40"/>
        <v>7.5274846725688418</v>
      </c>
      <c r="AH28" s="76">
        <f t="shared" si="30"/>
        <v>17.451190993937693</v>
      </c>
      <c r="AI28" s="76">
        <f t="shared" si="31"/>
        <v>56.914294863482759</v>
      </c>
      <c r="AJ28" s="76">
        <f t="shared" si="32"/>
        <v>73.432236721457059</v>
      </c>
      <c r="AK28" s="76"/>
      <c r="AL28" s="76">
        <f t="shared" si="33"/>
        <v>24.357787300870747</v>
      </c>
      <c r="AM28" s="76"/>
      <c r="AN28" s="76"/>
      <c r="AO28" s="76">
        <f t="shared" si="34"/>
        <v>5.0409624326518562E-2</v>
      </c>
      <c r="AP28" s="76">
        <f t="shared" si="35"/>
        <v>2.9405242382578613E-2</v>
      </c>
      <c r="AQ28" s="76">
        <f t="shared" si="41"/>
        <v>1.3953488372093023E-2</v>
      </c>
      <c r="AR28" s="76">
        <f t="shared" si="36"/>
        <v>8.9955022488755615E-3</v>
      </c>
      <c r="AS28" s="76">
        <f t="shared" si="37"/>
        <v>1.4579646017699115</v>
      </c>
      <c r="AT28" s="76">
        <f t="shared" si="38"/>
        <v>7.0360110803324105E-2</v>
      </c>
      <c r="AV28" s="76">
        <f t="shared" si="39"/>
        <v>1.8525179856115109E-2</v>
      </c>
      <c r="AW28" s="76"/>
      <c r="AY28" s="97">
        <v>683</v>
      </c>
      <c r="AZ28" s="97">
        <v>1989</v>
      </c>
      <c r="BA28" s="97">
        <v>3</v>
      </c>
      <c r="BB28" s="97">
        <v>6</v>
      </c>
      <c r="BC28" s="97">
        <v>659</v>
      </c>
      <c r="BD28" s="97">
        <v>381</v>
      </c>
      <c r="BE28" s="98"/>
      <c r="BF28" s="97">
        <v>103</v>
      </c>
      <c r="BG28" s="97"/>
      <c r="BI28" s="99">
        <v>13549</v>
      </c>
      <c r="BJ28" s="99">
        <v>67641</v>
      </c>
      <c r="BK28" s="99">
        <v>215</v>
      </c>
      <c r="BL28" s="99">
        <v>667</v>
      </c>
      <c r="BM28" s="99">
        <v>452</v>
      </c>
      <c r="BN28" s="99">
        <v>5415</v>
      </c>
      <c r="BO28" s="100"/>
      <c r="BP28" s="99">
        <v>5560</v>
      </c>
      <c r="BQ28" s="101"/>
    </row>
    <row r="29" spans="1:69">
      <c r="A29" s="4">
        <v>1829</v>
      </c>
      <c r="B29" s="95">
        <f t="shared" si="16"/>
        <v>78.168417593065385</v>
      </c>
      <c r="D29" s="51">
        <f t="shared" si="17"/>
        <v>40.277434779492367</v>
      </c>
      <c r="E29" s="51">
        <f>(F29/F$27)*E$27</f>
        <v>43.147497421321766</v>
      </c>
      <c r="F29" s="51">
        <f>(AF29^V$5)*(AH29^X$5)*(AI29^Y$5)*(AJ29^Z$5)*(AL29^AB$5)*(AG29^W$5)*(AE29^U$5)</f>
        <v>42.958031931543374</v>
      </c>
      <c r="G29" s="51"/>
      <c r="Q29" s="51"/>
      <c r="U29" s="76">
        <f t="shared" si="19"/>
        <v>0.17875887619635691</v>
      </c>
      <c r="V29" s="76">
        <f t="shared" si="20"/>
        <v>0.39580117320160546</v>
      </c>
      <c r="W29" s="76">
        <f t="shared" si="21"/>
        <v>1.8524235875270144E-3</v>
      </c>
      <c r="X29" s="76">
        <f t="shared" si="22"/>
        <v>1.8524235875270144E-3</v>
      </c>
      <c r="Y29" s="76">
        <f t="shared" si="23"/>
        <v>0.2176597715344242</v>
      </c>
      <c r="Z29" s="76">
        <f t="shared" si="24"/>
        <v>0.1821549861068231</v>
      </c>
      <c r="AA29" s="76">
        <f t="shared" si="25"/>
        <v>0</v>
      </c>
      <c r="AB29" s="76">
        <f t="shared" si="26"/>
        <v>2.1920345785736338E-2</v>
      </c>
      <c r="AC29" s="76">
        <f t="shared" si="27"/>
        <v>0</v>
      </c>
      <c r="AE29" s="76">
        <f t="shared" si="28"/>
        <v>21.162662377188514</v>
      </c>
      <c r="AF29" s="76">
        <f t="shared" si="29"/>
        <v>49.321032598376931</v>
      </c>
      <c r="AG29" s="76">
        <f t="shared" si="40"/>
        <v>18.49610519545487</v>
      </c>
      <c r="AH29" s="76">
        <f t="shared" si="30"/>
        <v>9.5331239909553176</v>
      </c>
      <c r="AI29" s="76">
        <f t="shared" si="31"/>
        <v>59.958507149862037</v>
      </c>
      <c r="AJ29" s="76">
        <f t="shared" si="32"/>
        <v>63.9486038292426</v>
      </c>
      <c r="AK29" s="76"/>
      <c r="AL29" s="76">
        <f t="shared" si="33"/>
        <v>19.327986723133602</v>
      </c>
      <c r="AM29" s="76"/>
      <c r="AN29" s="76"/>
      <c r="AO29" s="76">
        <f t="shared" si="34"/>
        <v>4.2749556999409334E-2</v>
      </c>
      <c r="AP29" s="76">
        <f t="shared" si="35"/>
        <v>2.3284113405619426E-2</v>
      </c>
      <c r="AQ29" s="76">
        <f t="shared" si="41"/>
        <v>3.4285714285714287E-2</v>
      </c>
      <c r="AR29" s="76">
        <f t="shared" si="36"/>
        <v>4.9140049140049139E-3</v>
      </c>
      <c r="AS29" s="76">
        <f t="shared" si="37"/>
        <v>1.5359477124183007</v>
      </c>
      <c r="AT29" s="76">
        <f t="shared" si="38"/>
        <v>6.1273237096271679E-2</v>
      </c>
      <c r="AV29" s="76">
        <f t="shared" si="39"/>
        <v>1.4699792960662527E-2</v>
      </c>
      <c r="AW29" s="76"/>
      <c r="AY29" s="97">
        <v>579</v>
      </c>
      <c r="AZ29" s="97">
        <v>1282</v>
      </c>
      <c r="BA29" s="97">
        <v>6</v>
      </c>
      <c r="BB29" s="97">
        <v>6</v>
      </c>
      <c r="BC29" s="97">
        <v>705</v>
      </c>
      <c r="BD29" s="97">
        <v>590</v>
      </c>
      <c r="BE29" s="98"/>
      <c r="BF29" s="97">
        <v>71</v>
      </c>
      <c r="BG29" s="97"/>
      <c r="BI29" s="99">
        <v>13544</v>
      </c>
      <c r="BJ29" s="99">
        <v>55059</v>
      </c>
      <c r="BK29" s="99">
        <v>175</v>
      </c>
      <c r="BL29" s="99">
        <v>1221</v>
      </c>
      <c r="BM29" s="99">
        <v>459</v>
      </c>
      <c r="BN29" s="99">
        <v>9629</v>
      </c>
      <c r="BO29" s="100"/>
      <c r="BP29" s="99">
        <v>4830</v>
      </c>
      <c r="BQ29" s="101"/>
    </row>
    <row r="30" spans="1:69">
      <c r="A30" s="4">
        <v>1830</v>
      </c>
      <c r="B30" s="95">
        <f t="shared" si="16"/>
        <v>70.728929522299694</v>
      </c>
      <c r="D30" s="51">
        <f t="shared" si="17"/>
        <v>36.40627716416779</v>
      </c>
      <c r="E30" s="51">
        <f>(F30/F$27)*E$27</f>
        <v>39.081630371350165</v>
      </c>
      <c r="F30" s="51">
        <f>(AF30^V$5)*(AH30^X$5)*(AI30^Y$5)*(AJ30^Z$5)*(AL30^AB$5)*(AG30^W$5)*(AE30^U$5)</f>
        <v>38.910018558796075</v>
      </c>
      <c r="G30" s="51"/>
      <c r="Q30" s="51"/>
      <c r="U30" s="76">
        <f t="shared" si="19"/>
        <v>0.21825143586470963</v>
      </c>
      <c r="V30" s="76">
        <f t="shared" si="20"/>
        <v>0.39183152520740266</v>
      </c>
      <c r="W30" s="76">
        <f t="shared" si="21"/>
        <v>2.2335673261008296E-3</v>
      </c>
      <c r="X30" s="76">
        <f t="shared" si="22"/>
        <v>6.3816209317166565E-4</v>
      </c>
      <c r="Y30" s="76">
        <f t="shared" si="23"/>
        <v>0.21155073388640716</v>
      </c>
      <c r="Z30" s="76">
        <f t="shared" si="24"/>
        <v>0.16273133375877472</v>
      </c>
      <c r="AA30" s="76">
        <f t="shared" si="25"/>
        <v>0</v>
      </c>
      <c r="AB30" s="76">
        <f t="shared" si="26"/>
        <v>1.2763241863433313E-2</v>
      </c>
      <c r="AC30" s="76">
        <f t="shared" si="27"/>
        <v>0</v>
      </c>
      <c r="AE30" s="76">
        <f t="shared" si="28"/>
        <v>20.906773701545379</v>
      </c>
      <c r="AF30" s="76">
        <f t="shared" si="29"/>
        <v>39.781948546096991</v>
      </c>
      <c r="AG30" s="76">
        <f t="shared" si="40"/>
        <v>19.980360550645688</v>
      </c>
      <c r="AH30" s="76">
        <f t="shared" si="30"/>
        <v>5.9326933705180638</v>
      </c>
      <c r="AI30" s="76">
        <f t="shared" si="31"/>
        <v>53.919601123890558</v>
      </c>
      <c r="AJ30" s="76">
        <f t="shared" si="32"/>
        <v>62.915848098450589</v>
      </c>
      <c r="AK30" s="76"/>
      <c r="AL30" s="76">
        <f t="shared" si="33"/>
        <v>18.179710300771713</v>
      </c>
      <c r="AM30" s="76"/>
      <c r="AN30" s="76"/>
      <c r="AO30" s="76">
        <f t="shared" si="34"/>
        <v>4.2232650037046182E-2</v>
      </c>
      <c r="AP30" s="76">
        <f t="shared" si="35"/>
        <v>1.8780778759979199E-2</v>
      </c>
      <c r="AQ30" s="76">
        <f t="shared" si="41"/>
        <v>3.7037037037037035E-2</v>
      </c>
      <c r="AR30" s="76">
        <f t="shared" si="36"/>
        <v>3.0581039755351682E-3</v>
      </c>
      <c r="AS30" s="76">
        <f t="shared" si="37"/>
        <v>1.3812500000000001</v>
      </c>
      <c r="AT30" s="76">
        <f t="shared" si="38"/>
        <v>6.0283687943262408E-2</v>
      </c>
      <c r="AV30" s="76">
        <f t="shared" si="39"/>
        <v>1.3826477704804701E-2</v>
      </c>
      <c r="AW30" s="76"/>
      <c r="AY30" s="97">
        <v>684</v>
      </c>
      <c r="AZ30" s="97">
        <v>1228</v>
      </c>
      <c r="BA30" s="97">
        <v>7</v>
      </c>
      <c r="BB30" s="97">
        <v>2</v>
      </c>
      <c r="BC30" s="97">
        <v>663</v>
      </c>
      <c r="BD30" s="97">
        <v>510</v>
      </c>
      <c r="BE30" s="98"/>
      <c r="BF30" s="97">
        <v>40</v>
      </c>
      <c r="BG30" s="97"/>
      <c r="BI30" s="99">
        <v>16196</v>
      </c>
      <c r="BJ30" s="99">
        <v>65386</v>
      </c>
      <c r="BK30" s="99">
        <v>189</v>
      </c>
      <c r="BL30" s="99">
        <v>654</v>
      </c>
      <c r="BM30" s="99">
        <v>480</v>
      </c>
      <c r="BN30" s="99">
        <v>8460</v>
      </c>
      <c r="BO30" s="100"/>
      <c r="BP30" s="99">
        <v>2893</v>
      </c>
      <c r="BQ30" s="101"/>
    </row>
    <row r="31" spans="1:69">
      <c r="A31" s="4">
        <v>1831</v>
      </c>
      <c r="B31" s="95">
        <f>(GEOMEAN(E31, G31:H31)/GEOMEAN(E$41, G$41:H$41))*B$41</f>
        <v>52.983385604113735</v>
      </c>
      <c r="D31" s="51">
        <f t="shared" si="17"/>
        <v>34.307062476670296</v>
      </c>
      <c r="E31" s="51">
        <f>(F31/F$27)*E$27</f>
        <v>38.169038494191717</v>
      </c>
      <c r="F31" s="51">
        <f>(AF31^V$5)*(AH31^X$5)*(AI31^Y$5)*(AJ31^Z$5)*(AL31^AB$5)*(AG31^W$5)*(AE31^U$5)</f>
        <v>38.00143397469764</v>
      </c>
      <c r="G31" s="51">
        <f t="shared" ref="G31:G41" si="42">(AF31^V$6)*(AH31^X$6)*(AI31^Y$6)*(AJ31^Z$6)*(AL31^AB$6)*(AG31^W$6)*(AE31^U$6)*(AK31^AA$6)</f>
        <v>37.951028515026117</v>
      </c>
      <c r="H31" s="51">
        <f t="shared" ref="H31:H51" si="43">(AF31^V$7)*(AH31^X$7)*(AI31^Y$7)*(AJ31^Z$7)*(AL31^AB$7)*(AG31^W$7)*(AK31^AA$7)*(AE31^U$7)</f>
        <v>42.845923076234065</v>
      </c>
      <c r="Q31" s="51"/>
      <c r="U31" s="76">
        <f t="shared" si="19"/>
        <v>0.24815646040397563</v>
      </c>
      <c r="V31" s="76">
        <f t="shared" si="20"/>
        <v>0.27316447579352354</v>
      </c>
      <c r="W31" s="76">
        <f t="shared" si="21"/>
        <v>1.9236934915036871E-3</v>
      </c>
      <c r="X31" s="76">
        <f t="shared" si="22"/>
        <v>1.2824623276691247E-3</v>
      </c>
      <c r="Y31" s="76">
        <f t="shared" si="23"/>
        <v>0.30907342096825907</v>
      </c>
      <c r="Z31" s="76">
        <f t="shared" si="24"/>
        <v>0.14107085604360373</v>
      </c>
      <c r="AA31" s="76">
        <f t="shared" si="25"/>
        <v>3.2061558191728116E-3</v>
      </c>
      <c r="AB31" s="76">
        <f t="shared" si="26"/>
        <v>2.21224751522924E-2</v>
      </c>
      <c r="AC31" s="76">
        <f t="shared" si="27"/>
        <v>0</v>
      </c>
      <c r="AE31" s="76">
        <f t="shared" si="28"/>
        <v>24.400403870899375</v>
      </c>
      <c r="AF31" s="76">
        <f t="shared" si="29"/>
        <v>28.64831446132229</v>
      </c>
      <c r="AG31" s="76">
        <f t="shared" si="40"/>
        <v>11.397247919734514</v>
      </c>
      <c r="AH31" s="76">
        <f t="shared" si="30"/>
        <v>9.0442458375729924</v>
      </c>
      <c r="AI31" s="76">
        <f t="shared" si="31"/>
        <v>68.545519021411863</v>
      </c>
      <c r="AJ31" s="76">
        <f t="shared" si="32"/>
        <v>44.0871421345879</v>
      </c>
      <c r="AK31" s="76">
        <f t="shared" ref="AK31:AK62" si="44">(AU31/AU$118)*100</f>
        <v>25.119443417660747</v>
      </c>
      <c r="AL31" s="76">
        <f t="shared" si="33"/>
        <v>22.095587135345511</v>
      </c>
      <c r="AM31" s="76"/>
      <c r="AN31" s="76"/>
      <c r="AO31" s="76">
        <f t="shared" si="34"/>
        <v>4.9289944596573904E-2</v>
      </c>
      <c r="AP31" s="76">
        <f t="shared" si="35"/>
        <v>1.3524668232903676E-2</v>
      </c>
      <c r="AQ31" s="76">
        <f t="shared" si="41"/>
        <v>2.1126760563380281E-2</v>
      </c>
      <c r="AR31" s="76">
        <f t="shared" si="36"/>
        <v>4.662004662004662E-3</v>
      </c>
      <c r="AS31" s="76">
        <f t="shared" si="37"/>
        <v>1.7559198542805101</v>
      </c>
      <c r="AT31" s="76">
        <f t="shared" si="38"/>
        <v>4.2242703533026116E-2</v>
      </c>
      <c r="AU31" s="76">
        <f t="shared" ref="AU31:AU62" si="45">BE31/BO31</f>
        <v>7.4239049740163323E-3</v>
      </c>
      <c r="AV31" s="76">
        <f t="shared" si="39"/>
        <v>1.6804676083779835E-2</v>
      </c>
      <c r="AW31" s="76"/>
      <c r="AY31" s="97">
        <v>774</v>
      </c>
      <c r="AZ31" s="97">
        <v>852</v>
      </c>
      <c r="BA31" s="97">
        <v>6</v>
      </c>
      <c r="BB31" s="97">
        <v>4</v>
      </c>
      <c r="BC31" s="97">
        <v>964</v>
      </c>
      <c r="BD31" s="97">
        <v>440</v>
      </c>
      <c r="BE31" s="97">
        <v>10</v>
      </c>
      <c r="BF31" s="97">
        <v>69</v>
      </c>
      <c r="BG31" s="97"/>
      <c r="BI31" s="99">
        <v>15703</v>
      </c>
      <c r="BJ31" s="99">
        <v>62996</v>
      </c>
      <c r="BK31" s="99">
        <v>284</v>
      </c>
      <c r="BL31" s="99">
        <v>858</v>
      </c>
      <c r="BM31" s="99">
        <v>549</v>
      </c>
      <c r="BN31" s="99">
        <v>10416</v>
      </c>
      <c r="BO31" s="99">
        <v>1347</v>
      </c>
      <c r="BP31" s="99">
        <v>4106</v>
      </c>
      <c r="BQ31" s="101"/>
    </row>
    <row r="32" spans="1:69">
      <c r="A32" s="4">
        <v>1832</v>
      </c>
      <c r="B32" s="95">
        <f t="shared" ref="B32:B40" si="46">(GEOMEAN(E32, G32:H32)/GEOMEAN(E$41, G$41:H$41))*B$41</f>
        <v>67.853146205122172</v>
      </c>
      <c r="D32" s="51"/>
      <c r="E32" s="51">
        <f t="shared" ref="E32:E41" si="47">(G32/G$31)*E$31</f>
        <v>47.749799777601559</v>
      </c>
      <c r="F32" s="51"/>
      <c r="G32" s="51">
        <f t="shared" si="42"/>
        <v>47.477067393832954</v>
      </c>
      <c r="H32" s="51">
        <f t="shared" si="43"/>
        <v>57.501567684127515</v>
      </c>
      <c r="Q32" s="51"/>
      <c r="U32" s="76">
        <f t="shared" si="19"/>
        <v>0.12613636363636363</v>
      </c>
      <c r="V32" s="76">
        <f t="shared" si="20"/>
        <v>0.31431818181818183</v>
      </c>
      <c r="W32" s="76">
        <f t="shared" si="21"/>
        <v>2.2727272727272726E-3</v>
      </c>
      <c r="X32" s="76">
        <f t="shared" si="22"/>
        <v>3.1818181818181819E-3</v>
      </c>
      <c r="Y32" s="76">
        <f t="shared" si="23"/>
        <v>0.41636363636363638</v>
      </c>
      <c r="Z32" s="76">
        <f t="shared" si="24"/>
        <v>0.10113636363636364</v>
      </c>
      <c r="AA32" s="76">
        <f t="shared" si="25"/>
        <v>3.6363636363636364E-3</v>
      </c>
      <c r="AB32" s="76">
        <f t="shared" si="26"/>
        <v>3.2954545454545452E-2</v>
      </c>
      <c r="AC32" s="76">
        <f t="shared" si="27"/>
        <v>0</v>
      </c>
      <c r="AE32" s="76">
        <f t="shared" si="28"/>
        <v>26.395060352205483</v>
      </c>
      <c r="AF32" s="76">
        <f t="shared" si="29"/>
        <v>38.610673609342953</v>
      </c>
      <c r="AG32" s="76">
        <f t="shared" si="40"/>
        <v>22.109415363419409</v>
      </c>
      <c r="AH32" s="76">
        <f t="shared" si="30"/>
        <v>16.985534865685864</v>
      </c>
      <c r="AI32" s="76">
        <f t="shared" si="31"/>
        <v>99.742601976781074</v>
      </c>
      <c r="AJ32" s="76">
        <f t="shared" si="32"/>
        <v>43.917729260879234</v>
      </c>
      <c r="AK32" s="76">
        <f t="shared" si="44"/>
        <v>36.62883927858082</v>
      </c>
      <c r="AL32" s="76">
        <f t="shared" si="33"/>
        <v>26.773331609040941</v>
      </c>
      <c r="AM32" s="76"/>
      <c r="AN32" s="76"/>
      <c r="AO32" s="76">
        <f t="shared" si="34"/>
        <v>5.3319242962820639E-2</v>
      </c>
      <c r="AP32" s="76">
        <f t="shared" si="35"/>
        <v>1.8227828081135582E-2</v>
      </c>
      <c r="AQ32" s="76">
        <f t="shared" si="41"/>
        <v>4.0983606557377046E-2</v>
      </c>
      <c r="AR32" s="76">
        <f t="shared" si="36"/>
        <v>8.7554721701063164E-3</v>
      </c>
      <c r="AS32" s="76">
        <f t="shared" si="37"/>
        <v>2.5550906555090656</v>
      </c>
      <c r="AT32" s="76">
        <f t="shared" si="38"/>
        <v>4.2080378250591015E-2</v>
      </c>
      <c r="AU32" s="76">
        <f t="shared" si="45"/>
        <v>1.0825439783491205E-2</v>
      </c>
      <c r="AV32" s="76">
        <f t="shared" si="39"/>
        <v>2.0362308664513412E-2</v>
      </c>
      <c r="AW32" s="76"/>
      <c r="AY32" s="97">
        <v>555</v>
      </c>
      <c r="AZ32" s="97">
        <v>1383</v>
      </c>
      <c r="BA32" s="97">
        <v>10</v>
      </c>
      <c r="BB32" s="97">
        <v>14</v>
      </c>
      <c r="BC32" s="97">
        <v>1832</v>
      </c>
      <c r="BD32" s="97">
        <v>445</v>
      </c>
      <c r="BE32" s="97">
        <v>16</v>
      </c>
      <c r="BF32" s="97">
        <v>145</v>
      </c>
      <c r="BG32" s="97"/>
      <c r="BI32" s="99">
        <v>10409</v>
      </c>
      <c r="BJ32" s="99">
        <v>75873</v>
      </c>
      <c r="BK32" s="99">
        <v>244</v>
      </c>
      <c r="BL32" s="99">
        <v>1599</v>
      </c>
      <c r="BM32" s="99">
        <v>717</v>
      </c>
      <c r="BN32" s="99">
        <v>10575</v>
      </c>
      <c r="BO32" s="99">
        <v>1478</v>
      </c>
      <c r="BP32" s="99">
        <v>7121</v>
      </c>
      <c r="BQ32" s="101"/>
    </row>
    <row r="33" spans="1:69">
      <c r="A33" s="4">
        <v>1833</v>
      </c>
      <c r="B33" s="95">
        <f t="shared" si="46"/>
        <v>70.091764412406064</v>
      </c>
      <c r="D33" s="51"/>
      <c r="E33" s="51">
        <f t="shared" si="47"/>
        <v>49.834676726957525</v>
      </c>
      <c r="F33" s="51"/>
      <c r="G33" s="51">
        <f t="shared" si="42"/>
        <v>49.550036157962793</v>
      </c>
      <c r="H33" s="51">
        <f t="shared" si="43"/>
        <v>58.190288788864052</v>
      </c>
      <c r="Q33" s="51"/>
      <c r="U33" s="76">
        <f t="shared" si="19"/>
        <v>0.15570599613152805</v>
      </c>
      <c r="V33" s="76">
        <f t="shared" si="20"/>
        <v>0.26692456479690524</v>
      </c>
      <c r="W33" s="76">
        <f t="shared" si="21"/>
        <v>2.5789813023855577E-3</v>
      </c>
      <c r="X33" s="76">
        <f t="shared" si="22"/>
        <v>4.5132172791747258E-3</v>
      </c>
      <c r="Y33" s="76">
        <f t="shared" si="23"/>
        <v>0.4458413926499033</v>
      </c>
      <c r="Z33" s="76">
        <f t="shared" si="24"/>
        <v>8.9619600257898127E-2</v>
      </c>
      <c r="AA33" s="76">
        <f t="shared" si="25"/>
        <v>6.4474532559638939E-3</v>
      </c>
      <c r="AB33" s="76">
        <f t="shared" si="26"/>
        <v>2.8368794326241134E-2</v>
      </c>
      <c r="AC33" s="76">
        <f t="shared" si="27"/>
        <v>0</v>
      </c>
      <c r="AE33" s="76">
        <f t="shared" si="28"/>
        <v>32.566526166508282</v>
      </c>
      <c r="AF33" s="76">
        <f t="shared" si="29"/>
        <v>38.676276242620965</v>
      </c>
      <c r="AG33" s="76">
        <f t="shared" si="40"/>
        <v>11.009586425865994</v>
      </c>
      <c r="AH33" s="76">
        <f t="shared" si="30"/>
        <v>34.120440012853891</v>
      </c>
      <c r="AI33" s="76">
        <f t="shared" si="31"/>
        <v>96.406992054739021</v>
      </c>
      <c r="AJ33" s="76">
        <f t="shared" si="32"/>
        <v>42.996189088933825</v>
      </c>
      <c r="AK33" s="76">
        <f t="shared" si="44"/>
        <v>40.815307941603166</v>
      </c>
      <c r="AL33" s="76">
        <f t="shared" si="33"/>
        <v>31.700434021997708</v>
      </c>
      <c r="AM33" s="76"/>
      <c r="AN33" s="76"/>
      <c r="AO33" s="76">
        <f t="shared" si="34"/>
        <v>6.5785889403432302E-2</v>
      </c>
      <c r="AP33" s="76">
        <f t="shared" si="35"/>
        <v>1.8258798623974597E-2</v>
      </c>
      <c r="AQ33" s="76">
        <f t="shared" si="41"/>
        <v>2.0408163265306121E-2</v>
      </c>
      <c r="AR33" s="76">
        <f t="shared" si="36"/>
        <v>1.7587939698492462E-2</v>
      </c>
      <c r="AS33" s="76">
        <f t="shared" si="37"/>
        <v>2.469642857142857</v>
      </c>
      <c r="AT33" s="76">
        <f t="shared" si="38"/>
        <v>4.1197391819798458E-2</v>
      </c>
      <c r="AU33" s="76">
        <f t="shared" si="45"/>
        <v>1.2062726176115802E-2</v>
      </c>
      <c r="AV33" s="76">
        <f t="shared" si="39"/>
        <v>2.4109589041095891E-2</v>
      </c>
      <c r="AW33" s="76"/>
      <c r="AY33" s="97">
        <v>483</v>
      </c>
      <c r="AZ33" s="97">
        <v>828</v>
      </c>
      <c r="BA33" s="97">
        <v>8</v>
      </c>
      <c r="BB33" s="97">
        <v>14</v>
      </c>
      <c r="BC33" s="97">
        <v>1383</v>
      </c>
      <c r="BD33" s="97">
        <v>278</v>
      </c>
      <c r="BE33" s="97">
        <v>20</v>
      </c>
      <c r="BF33" s="97">
        <v>88</v>
      </c>
      <c r="BG33" s="97"/>
      <c r="BI33" s="99">
        <v>7342</v>
      </c>
      <c r="BJ33" s="99">
        <v>45348</v>
      </c>
      <c r="BK33" s="99">
        <v>392</v>
      </c>
      <c r="BL33" s="99">
        <v>796</v>
      </c>
      <c r="BM33" s="99">
        <v>560</v>
      </c>
      <c r="BN33" s="99">
        <v>6748</v>
      </c>
      <c r="BO33" s="99">
        <v>1658</v>
      </c>
      <c r="BP33" s="99">
        <v>3650</v>
      </c>
      <c r="BQ33" s="101"/>
    </row>
    <row r="34" spans="1:69">
      <c r="A34" s="4">
        <v>1834</v>
      </c>
      <c r="B34" s="95">
        <f t="shared" si="46"/>
        <v>70.276595016466203</v>
      </c>
      <c r="D34" s="51"/>
      <c r="E34" s="51">
        <f t="shared" si="47"/>
        <v>49.964589130767571</v>
      </c>
      <c r="F34" s="51"/>
      <c r="G34" s="51">
        <f t="shared" si="42"/>
        <v>49.679206541497635</v>
      </c>
      <c r="H34" s="51">
        <f t="shared" si="43"/>
        <v>58.347240131332455</v>
      </c>
      <c r="Q34" s="51"/>
      <c r="U34" s="76">
        <f t="shared" si="19"/>
        <v>0.15715115153861042</v>
      </c>
      <c r="V34" s="76">
        <f t="shared" si="20"/>
        <v>0.20108380104509385</v>
      </c>
      <c r="W34" s="76">
        <f t="shared" si="21"/>
        <v>2.9030385136442809E-3</v>
      </c>
      <c r="X34" s="76">
        <f t="shared" si="22"/>
        <v>2.5159667118250435E-3</v>
      </c>
      <c r="Y34" s="76">
        <f t="shared" si="23"/>
        <v>0.53706212502419204</v>
      </c>
      <c r="Z34" s="76">
        <f t="shared" si="24"/>
        <v>6.2125024191987614E-2</v>
      </c>
      <c r="AA34" s="76">
        <f t="shared" si="25"/>
        <v>4.4513257209212306E-3</v>
      </c>
      <c r="AB34" s="76">
        <f t="shared" si="26"/>
        <v>3.2707567253725568E-2</v>
      </c>
      <c r="AC34" s="76">
        <f t="shared" si="27"/>
        <v>0</v>
      </c>
      <c r="AE34" s="76">
        <f t="shared" si="28"/>
        <v>32.537719958427417</v>
      </c>
      <c r="AF34" s="76">
        <f t="shared" si="29"/>
        <v>39.235512914959379</v>
      </c>
      <c r="AG34" s="76">
        <f t="shared" si="40"/>
        <v>19.358961777539484</v>
      </c>
      <c r="AH34" s="76">
        <f t="shared" si="30"/>
        <v>20.999067042524807</v>
      </c>
      <c r="AI34" s="76">
        <f t="shared" si="31"/>
        <v>96.634400034743564</v>
      </c>
      <c r="AJ34" s="76">
        <f t="shared" si="32"/>
        <v>42.289294158990934</v>
      </c>
      <c r="AK34" s="76">
        <f t="shared" si="44"/>
        <v>43.114984848894608</v>
      </c>
      <c r="AL34" s="76">
        <f t="shared" si="33"/>
        <v>31.519040500434052</v>
      </c>
      <c r="AM34" s="76"/>
      <c r="AN34" s="76"/>
      <c r="AO34" s="76">
        <f t="shared" si="34"/>
        <v>6.5727699530516437E-2</v>
      </c>
      <c r="AP34" s="76">
        <f t="shared" si="35"/>
        <v>1.8522810332840103E-2</v>
      </c>
      <c r="AQ34" s="76">
        <f t="shared" si="41"/>
        <v>3.5885167464114832E-2</v>
      </c>
      <c r="AR34" s="76">
        <f t="shared" si="36"/>
        <v>1.0824313072439634E-2</v>
      </c>
      <c r="AS34" s="76">
        <f t="shared" si="37"/>
        <v>2.4754683318465656</v>
      </c>
      <c r="AT34" s="76">
        <f t="shared" si="38"/>
        <v>4.0520070689219895E-2</v>
      </c>
      <c r="AU34" s="76">
        <f t="shared" si="45"/>
        <v>1.2742382271468145E-2</v>
      </c>
      <c r="AV34" s="76">
        <f t="shared" si="39"/>
        <v>2.3971631205673759E-2</v>
      </c>
      <c r="AW34" s="76"/>
      <c r="AY34" s="97">
        <v>812</v>
      </c>
      <c r="AZ34" s="97">
        <v>1039</v>
      </c>
      <c r="BA34" s="97">
        <v>15</v>
      </c>
      <c r="BB34" s="97">
        <v>13</v>
      </c>
      <c r="BC34" s="97">
        <v>2775</v>
      </c>
      <c r="BD34" s="97">
        <v>321</v>
      </c>
      <c r="BE34" s="97">
        <v>23</v>
      </c>
      <c r="BF34" s="97">
        <v>169</v>
      </c>
      <c r="BG34" s="97"/>
      <c r="BI34" s="99">
        <v>12354</v>
      </c>
      <c r="BJ34" s="99">
        <v>56093</v>
      </c>
      <c r="BK34" s="99">
        <v>418</v>
      </c>
      <c r="BL34" s="99">
        <v>1201</v>
      </c>
      <c r="BM34" s="99">
        <v>1121</v>
      </c>
      <c r="BN34" s="99">
        <v>7922</v>
      </c>
      <c r="BO34" s="99">
        <v>1805</v>
      </c>
      <c r="BP34" s="99">
        <v>7050</v>
      </c>
      <c r="BQ34" s="101"/>
    </row>
    <row r="35" spans="1:69">
      <c r="A35" s="4">
        <v>1835</v>
      </c>
      <c r="B35" s="95">
        <f t="shared" si="46"/>
        <v>60.559532048860945</v>
      </c>
      <c r="D35" s="51"/>
      <c r="E35" s="51">
        <f t="shared" si="47"/>
        <v>42.087103010864048</v>
      </c>
      <c r="F35" s="51"/>
      <c r="G35" s="51">
        <f t="shared" si="42"/>
        <v>41.846714234711484</v>
      </c>
      <c r="H35" s="51">
        <f t="shared" si="43"/>
        <v>52.621387079368809</v>
      </c>
      <c r="Q35" s="51"/>
      <c r="U35" s="76">
        <f t="shared" si="19"/>
        <v>0.10256410256410256</v>
      </c>
      <c r="V35" s="76">
        <f t="shared" si="20"/>
        <v>0.23931623931623933</v>
      </c>
      <c r="W35" s="76">
        <f t="shared" si="21"/>
        <v>3.2873109796186721E-3</v>
      </c>
      <c r="X35" s="76">
        <f t="shared" si="22"/>
        <v>2.8490028490028491E-3</v>
      </c>
      <c r="Y35" s="76">
        <f t="shared" si="23"/>
        <v>0.53364014902476442</v>
      </c>
      <c r="Z35" s="76">
        <f t="shared" si="24"/>
        <v>9.9495945649791806E-2</v>
      </c>
      <c r="AA35" s="76">
        <f t="shared" si="25"/>
        <v>3.725619110234495E-3</v>
      </c>
      <c r="AB35" s="76">
        <f t="shared" si="26"/>
        <v>1.5121630506245891E-2</v>
      </c>
      <c r="AC35" s="76">
        <f t="shared" si="27"/>
        <v>0</v>
      </c>
      <c r="AE35" s="76">
        <f t="shared" si="28"/>
        <v>20.477095863127083</v>
      </c>
      <c r="AF35" s="76">
        <f t="shared" si="29"/>
        <v>32.170226771943646</v>
      </c>
      <c r="AG35" s="76">
        <f t="shared" si="40"/>
        <v>21.752811889815874</v>
      </c>
      <c r="AH35" s="76">
        <f t="shared" si="30"/>
        <v>30.059451153840634</v>
      </c>
      <c r="AI35" s="76">
        <f t="shared" si="31"/>
        <v>97.994479628062507</v>
      </c>
      <c r="AJ35" s="76">
        <f t="shared" si="32"/>
        <v>40.748447967120093</v>
      </c>
      <c r="AK35" s="76">
        <f t="shared" si="44"/>
        <v>47.656183498012716</v>
      </c>
      <c r="AL35" s="76">
        <f t="shared" si="33"/>
        <v>28.140347635771924</v>
      </c>
      <c r="AM35" s="76"/>
      <c r="AN35" s="76"/>
      <c r="AO35" s="76">
        <f t="shared" si="34"/>
        <v>4.1364680926286014E-2</v>
      </c>
      <c r="AP35" s="76">
        <f t="shared" si="35"/>
        <v>1.5187338321604406E-2</v>
      </c>
      <c r="AQ35" s="76">
        <f t="shared" si="41"/>
        <v>4.0322580645161289E-2</v>
      </c>
      <c r="AR35" s="76">
        <f t="shared" si="36"/>
        <v>1.5494636471990465E-2</v>
      </c>
      <c r="AS35" s="76">
        <f t="shared" si="37"/>
        <v>2.5103092783505154</v>
      </c>
      <c r="AT35" s="76">
        <f t="shared" si="38"/>
        <v>3.9043687650498794E-2</v>
      </c>
      <c r="AU35" s="76">
        <f t="shared" si="45"/>
        <v>1.4084507042253521E-2</v>
      </c>
      <c r="AV35" s="76">
        <f t="shared" si="39"/>
        <v>2.1401985111662532E-2</v>
      </c>
      <c r="AW35" s="76"/>
      <c r="AY35" s="97">
        <v>468</v>
      </c>
      <c r="AZ35" s="97">
        <v>1092</v>
      </c>
      <c r="BA35" s="97">
        <v>15</v>
      </c>
      <c r="BB35" s="97">
        <v>13</v>
      </c>
      <c r="BC35" s="97">
        <v>2435</v>
      </c>
      <c r="BD35" s="97">
        <v>454</v>
      </c>
      <c r="BE35" s="97">
        <v>17</v>
      </c>
      <c r="BF35" s="97">
        <v>69</v>
      </c>
      <c r="BG35" s="97"/>
      <c r="BI35" s="99">
        <v>11314</v>
      </c>
      <c r="BJ35" s="99">
        <v>71902</v>
      </c>
      <c r="BK35" s="99">
        <v>372</v>
      </c>
      <c r="BL35" s="99">
        <v>839</v>
      </c>
      <c r="BM35" s="99">
        <v>970</v>
      </c>
      <c r="BN35" s="99">
        <v>11628</v>
      </c>
      <c r="BO35" s="99">
        <v>1207</v>
      </c>
      <c r="BP35" s="99">
        <v>3224</v>
      </c>
      <c r="BQ35" s="101"/>
    </row>
    <row r="36" spans="1:69">
      <c r="A36" s="4">
        <v>1836</v>
      </c>
      <c r="B36" s="95">
        <f t="shared" si="46"/>
        <v>67.34837839769726</v>
      </c>
      <c r="D36" s="51"/>
      <c r="E36" s="51">
        <f t="shared" si="47"/>
        <v>46.520059252074873</v>
      </c>
      <c r="F36" s="51"/>
      <c r="G36" s="51">
        <f t="shared" si="42"/>
        <v>46.254350773464104</v>
      </c>
      <c r="H36" s="51">
        <f t="shared" si="43"/>
        <v>59.239820935961866</v>
      </c>
      <c r="Q36" s="51"/>
      <c r="U36" s="76">
        <f t="shared" si="19"/>
        <v>9.3964455393278204E-2</v>
      </c>
      <c r="V36" s="76">
        <f t="shared" si="20"/>
        <v>0.33274678866795704</v>
      </c>
      <c r="W36" s="76">
        <f t="shared" si="21"/>
        <v>2.9913777934189689E-3</v>
      </c>
      <c r="X36" s="76">
        <f t="shared" si="22"/>
        <v>4.2231215907091325E-3</v>
      </c>
      <c r="Y36" s="76">
        <f t="shared" si="23"/>
        <v>0.44958648601090972</v>
      </c>
      <c r="Z36" s="76">
        <f t="shared" si="24"/>
        <v>9.5020235790955476E-2</v>
      </c>
      <c r="AA36" s="76">
        <f t="shared" si="25"/>
        <v>6.86257258490234E-3</v>
      </c>
      <c r="AB36" s="76">
        <f t="shared" si="26"/>
        <v>1.4604962167869084E-2</v>
      </c>
      <c r="AC36" s="76">
        <f t="shared" si="27"/>
        <v>0</v>
      </c>
      <c r="AE36" s="76">
        <f t="shared" si="28"/>
        <v>19.677711901100885</v>
      </c>
      <c r="AF36" s="76">
        <f t="shared" si="29"/>
        <v>48.479459282342603</v>
      </c>
      <c r="AG36" s="76">
        <f t="shared" si="40"/>
        <v>43.25936553182251</v>
      </c>
      <c r="AH36" s="76">
        <f t="shared" si="30"/>
        <v>34.694320098230826</v>
      </c>
      <c r="AI36" s="76">
        <f t="shared" si="31"/>
        <v>94.808995317888176</v>
      </c>
      <c r="AJ36" s="76">
        <f t="shared" si="32"/>
        <v>42.815312745762661</v>
      </c>
      <c r="AK36" s="76">
        <f t="shared" si="44"/>
        <v>56.272909213644873</v>
      </c>
      <c r="AL36" s="76">
        <f t="shared" si="33"/>
        <v>27.133850433310556</v>
      </c>
      <c r="AM36" s="76"/>
      <c r="AN36" s="76"/>
      <c r="AO36" s="76">
        <f t="shared" si="34"/>
        <v>3.974988834301027E-2</v>
      </c>
      <c r="AP36" s="76">
        <f t="shared" si="35"/>
        <v>2.2886812548412083E-2</v>
      </c>
      <c r="AQ36" s="76">
        <f t="shared" si="41"/>
        <v>8.0188679245283015E-2</v>
      </c>
      <c r="AR36" s="76">
        <f t="shared" si="36"/>
        <v>1.7883755588673621E-2</v>
      </c>
      <c r="AS36" s="76">
        <f t="shared" si="37"/>
        <v>2.4287072243346008</v>
      </c>
      <c r="AT36" s="76">
        <f t="shared" si="38"/>
        <v>4.1024082655929502E-2</v>
      </c>
      <c r="AU36" s="76">
        <f t="shared" si="45"/>
        <v>1.6631130063965886E-2</v>
      </c>
      <c r="AV36" s="76">
        <f t="shared" si="39"/>
        <v>2.0636499254102436E-2</v>
      </c>
      <c r="AW36" s="76"/>
      <c r="AY36" s="97">
        <v>534</v>
      </c>
      <c r="AZ36" s="97">
        <v>1891</v>
      </c>
      <c r="BA36" s="97">
        <v>17</v>
      </c>
      <c r="BB36" s="97">
        <v>24</v>
      </c>
      <c r="BC36" s="97">
        <v>2555</v>
      </c>
      <c r="BD36" s="97">
        <v>540</v>
      </c>
      <c r="BE36" s="97">
        <v>39</v>
      </c>
      <c r="BF36" s="97">
        <v>83</v>
      </c>
      <c r="BG36" s="97"/>
      <c r="BI36" s="99">
        <v>13434</v>
      </c>
      <c r="BJ36" s="99">
        <v>82624</v>
      </c>
      <c r="BK36" s="99">
        <v>212</v>
      </c>
      <c r="BL36" s="99">
        <v>1342</v>
      </c>
      <c r="BM36" s="99">
        <v>1052</v>
      </c>
      <c r="BN36" s="99">
        <v>13163</v>
      </c>
      <c r="BO36" s="99">
        <v>2345</v>
      </c>
      <c r="BP36" s="99">
        <v>4022</v>
      </c>
      <c r="BQ36" s="101"/>
    </row>
    <row r="37" spans="1:69">
      <c r="A37" s="4">
        <v>1837</v>
      </c>
      <c r="B37" s="95">
        <f t="shared" si="46"/>
        <v>61.932950705134544</v>
      </c>
      <c r="D37" s="51"/>
      <c r="E37" s="51">
        <f t="shared" si="47"/>
        <v>42.996564159658845</v>
      </c>
      <c r="F37" s="51"/>
      <c r="G37" s="51">
        <f t="shared" si="42"/>
        <v>42.750980817074357</v>
      </c>
      <c r="H37" s="51">
        <f t="shared" si="43"/>
        <v>53.927543246372046</v>
      </c>
      <c r="Q37" s="51"/>
      <c r="U37" s="76">
        <f t="shared" si="19"/>
        <v>0.10229466009007077</v>
      </c>
      <c r="V37" s="76">
        <f t="shared" si="20"/>
        <v>0.25348488097791122</v>
      </c>
      <c r="W37" s="76">
        <f t="shared" si="21"/>
        <v>3.8601758524555007E-3</v>
      </c>
      <c r="X37" s="76">
        <f t="shared" si="22"/>
        <v>5.5758095646579455E-3</v>
      </c>
      <c r="Y37" s="76">
        <f t="shared" si="23"/>
        <v>0.47973407677460861</v>
      </c>
      <c r="Z37" s="76">
        <f t="shared" si="24"/>
        <v>0.13188934162556296</v>
      </c>
      <c r="AA37" s="76">
        <f t="shared" si="25"/>
        <v>7.2914432768603904E-3</v>
      </c>
      <c r="AB37" s="76">
        <f t="shared" si="26"/>
        <v>1.5869611837872614E-2</v>
      </c>
      <c r="AC37" s="76">
        <f t="shared" si="27"/>
        <v>0</v>
      </c>
      <c r="AE37" s="76">
        <f t="shared" si="28"/>
        <v>18.724383958993755</v>
      </c>
      <c r="AF37" s="76">
        <f t="shared" si="29"/>
        <v>34.257974354352534</v>
      </c>
      <c r="AG37" s="76">
        <f t="shared" si="40"/>
        <v>47.600270723597092</v>
      </c>
      <c r="AH37" s="76">
        <f t="shared" si="30"/>
        <v>41.480064996829427</v>
      </c>
      <c r="AI37" s="76">
        <f t="shared" si="31"/>
        <v>95.961929462796022</v>
      </c>
      <c r="AJ37" s="76">
        <f t="shared" si="32"/>
        <v>50.619296417305094</v>
      </c>
      <c r="AK37" s="76">
        <f t="shared" si="44"/>
        <v>53.783088809818921</v>
      </c>
      <c r="AL37" s="76">
        <f t="shared" si="33"/>
        <v>28.112891798683975</v>
      </c>
      <c r="AM37" s="76"/>
      <c r="AN37" s="76"/>
      <c r="AO37" s="76">
        <f t="shared" si="34"/>
        <v>3.7824121798429942E-2</v>
      </c>
      <c r="AP37" s="76">
        <f t="shared" si="35"/>
        <v>1.6172949305603066E-2</v>
      </c>
      <c r="AQ37" s="76">
        <f t="shared" si="41"/>
        <v>8.8235294117647065E-2</v>
      </c>
      <c r="AR37" s="76">
        <f t="shared" si="36"/>
        <v>2.1381578947368422E-2</v>
      </c>
      <c r="AS37" s="76">
        <f t="shared" si="37"/>
        <v>2.4582417582417584</v>
      </c>
      <c r="AT37" s="76">
        <f t="shared" si="38"/>
        <v>4.8501577287066243E-2</v>
      </c>
      <c r="AU37" s="76">
        <f t="shared" si="45"/>
        <v>1.5895278167367927E-2</v>
      </c>
      <c r="AV37" s="76">
        <f t="shared" si="39"/>
        <v>2.1381103727246459E-2</v>
      </c>
      <c r="AW37" s="76"/>
      <c r="AY37" s="97">
        <v>477</v>
      </c>
      <c r="AZ37" s="97">
        <v>1182</v>
      </c>
      <c r="BA37" s="97">
        <v>18</v>
      </c>
      <c r="BB37" s="97">
        <v>26</v>
      </c>
      <c r="BC37" s="97">
        <v>2237</v>
      </c>
      <c r="BD37" s="97">
        <v>615</v>
      </c>
      <c r="BE37" s="97">
        <v>34</v>
      </c>
      <c r="BF37" s="97">
        <v>74</v>
      </c>
      <c r="BG37" s="97"/>
      <c r="BI37" s="99">
        <v>12611</v>
      </c>
      <c r="BJ37" s="99">
        <v>73085</v>
      </c>
      <c r="BK37" s="99">
        <v>204</v>
      </c>
      <c r="BL37" s="99">
        <v>1216</v>
      </c>
      <c r="BM37" s="99">
        <v>910</v>
      </c>
      <c r="BN37" s="99">
        <v>12680</v>
      </c>
      <c r="BO37" s="99">
        <v>2139</v>
      </c>
      <c r="BP37" s="99">
        <v>3461</v>
      </c>
      <c r="BQ37" s="101"/>
    </row>
    <row r="38" spans="1:69">
      <c r="A38" s="4">
        <v>1838</v>
      </c>
      <c r="B38" s="95">
        <f t="shared" si="46"/>
        <v>47.707143501090364</v>
      </c>
      <c r="D38" s="51"/>
      <c r="E38" s="51">
        <f t="shared" si="47"/>
        <v>33.158650604186256</v>
      </c>
      <c r="F38" s="51"/>
      <c r="G38" s="51">
        <f t="shared" si="42"/>
        <v>32.969258442042111</v>
      </c>
      <c r="H38" s="51">
        <f t="shared" si="43"/>
        <v>41.444735221091499</v>
      </c>
      <c r="Q38" s="51"/>
      <c r="U38" s="76">
        <f t="shared" si="19"/>
        <v>8.1568627450980397E-2</v>
      </c>
      <c r="V38" s="76">
        <f t="shared" si="20"/>
        <v>0.27816993464052286</v>
      </c>
      <c r="W38" s="76">
        <f t="shared" si="21"/>
        <v>3.9215686274509803E-3</v>
      </c>
      <c r="X38" s="76">
        <f t="shared" si="22"/>
        <v>1.4640522875816993E-2</v>
      </c>
      <c r="Y38" s="76">
        <f t="shared" si="23"/>
        <v>0.57437908496732026</v>
      </c>
      <c r="Z38" s="76">
        <f t="shared" si="24"/>
        <v>2.4313725490196079E-2</v>
      </c>
      <c r="AA38" s="76">
        <f t="shared" si="25"/>
        <v>7.8431372549019607E-3</v>
      </c>
      <c r="AB38" s="76">
        <f t="shared" si="26"/>
        <v>1.5163398692810458E-2</v>
      </c>
      <c r="AC38" s="76">
        <f t="shared" si="27"/>
        <v>0</v>
      </c>
      <c r="AE38" s="76">
        <f t="shared" si="28"/>
        <v>14.006702493601757</v>
      </c>
      <c r="AF38" s="76">
        <f t="shared" si="29"/>
        <v>25.051333216350013</v>
      </c>
      <c r="AG38" s="76">
        <f t="shared" si="40"/>
        <v>38.533552490530973</v>
      </c>
      <c r="AH38" s="76">
        <f t="shared" si="30"/>
        <v>39.078950000333371</v>
      </c>
      <c r="AI38" s="76">
        <f t="shared" si="31"/>
        <v>74.642195996006791</v>
      </c>
      <c r="AJ38" s="76">
        <f t="shared" si="32"/>
        <v>43.978545063300331</v>
      </c>
      <c r="AK38" s="76">
        <f t="shared" si="44"/>
        <v>39.558718180345707</v>
      </c>
      <c r="AL38" s="76">
        <f t="shared" si="33"/>
        <v>24.19452974466758</v>
      </c>
      <c r="AM38" s="76"/>
      <c r="AN38" s="76"/>
      <c r="AO38" s="76">
        <f t="shared" si="34"/>
        <v>2.8294186995556362E-2</v>
      </c>
      <c r="AP38" s="76">
        <f t="shared" si="35"/>
        <v>1.1826558627052142E-2</v>
      </c>
      <c r="AQ38" s="76">
        <f t="shared" si="41"/>
        <v>7.1428571428571425E-2</v>
      </c>
      <c r="AR38" s="76">
        <f t="shared" si="36"/>
        <v>2.0143884892086329E-2</v>
      </c>
      <c r="AS38" s="76">
        <f t="shared" si="37"/>
        <v>1.9120974760661444</v>
      </c>
      <c r="AT38" s="76">
        <f t="shared" si="38"/>
        <v>4.2138649750792935E-2</v>
      </c>
      <c r="AU38" s="76">
        <f t="shared" si="45"/>
        <v>1.1691348402182385E-2</v>
      </c>
      <c r="AV38" s="76">
        <f t="shared" si="39"/>
        <v>1.8401015228426396E-2</v>
      </c>
      <c r="AW38" s="76"/>
      <c r="AY38" s="97">
        <v>312</v>
      </c>
      <c r="AZ38" s="97">
        <v>1064</v>
      </c>
      <c r="BA38" s="97">
        <v>15</v>
      </c>
      <c r="BB38" s="97">
        <v>56</v>
      </c>
      <c r="BC38" s="97">
        <v>2197</v>
      </c>
      <c r="BD38" s="97">
        <v>93</v>
      </c>
      <c r="BE38" s="97">
        <v>30</v>
      </c>
      <c r="BF38" s="97">
        <v>58</v>
      </c>
      <c r="BG38" s="97"/>
      <c r="BI38" s="99">
        <v>11027</v>
      </c>
      <c r="BJ38" s="99">
        <v>89967</v>
      </c>
      <c r="BK38" s="99">
        <v>210</v>
      </c>
      <c r="BL38" s="99">
        <v>2780</v>
      </c>
      <c r="BM38" s="99">
        <v>1149</v>
      </c>
      <c r="BN38" s="99">
        <v>2207</v>
      </c>
      <c r="BO38" s="99">
        <v>2566</v>
      </c>
      <c r="BP38" s="99">
        <v>3152</v>
      </c>
      <c r="BQ38" s="101"/>
    </row>
    <row r="39" spans="1:69">
      <c r="A39" s="4">
        <v>1839</v>
      </c>
      <c r="B39" s="95">
        <f t="shared" si="46"/>
        <v>53.560679453950009</v>
      </c>
      <c r="D39" s="51"/>
      <c r="E39" s="51">
        <f t="shared" si="47"/>
        <v>37.613574090522235</v>
      </c>
      <c r="F39" s="51"/>
      <c r="G39" s="51">
        <f t="shared" si="42"/>
        <v>37.398736755673823</v>
      </c>
      <c r="H39" s="51">
        <f t="shared" si="43"/>
        <v>45.578691543773758</v>
      </c>
      <c r="Q39" s="51"/>
      <c r="U39" s="76">
        <f t="shared" si="19"/>
        <v>8.0903954802259884E-2</v>
      </c>
      <c r="V39" s="76">
        <f t="shared" si="20"/>
        <v>0.23344632768361581</v>
      </c>
      <c r="W39" s="76">
        <f t="shared" si="21"/>
        <v>6.7796610169491523E-3</v>
      </c>
      <c r="X39" s="76">
        <f t="shared" si="22"/>
        <v>1.4011299435028249E-2</v>
      </c>
      <c r="Y39" s="76">
        <f t="shared" si="23"/>
        <v>0.56361581920903958</v>
      </c>
      <c r="Z39" s="76">
        <f t="shared" si="24"/>
        <v>7.2994350282485881E-2</v>
      </c>
      <c r="AA39" s="76">
        <f t="shared" si="25"/>
        <v>5.6497175141242938E-3</v>
      </c>
      <c r="AB39" s="76">
        <f t="shared" si="26"/>
        <v>2.2598870056497175E-2</v>
      </c>
      <c r="AC39" s="76">
        <f t="shared" si="27"/>
        <v>0</v>
      </c>
      <c r="AE39" s="76">
        <f t="shared" si="28"/>
        <v>18.859600310964929</v>
      </c>
      <c r="AF39" s="76">
        <f t="shared" si="29"/>
        <v>32.187823848926826</v>
      </c>
      <c r="AG39" s="76">
        <f t="shared" si="40"/>
        <v>44.098343449653981</v>
      </c>
      <c r="AH39" s="76">
        <f t="shared" si="30"/>
        <v>40.621217627113552</v>
      </c>
      <c r="AI39" s="76">
        <f t="shared" si="31"/>
        <v>73.036622161685045</v>
      </c>
      <c r="AJ39" s="76">
        <f t="shared" si="32"/>
        <v>40.96028118001194</v>
      </c>
      <c r="AK39" s="76">
        <f t="shared" si="44"/>
        <v>36.445379452379392</v>
      </c>
      <c r="AL39" s="76">
        <f t="shared" si="33"/>
        <v>24.715179464348008</v>
      </c>
      <c r="AM39" s="76"/>
      <c r="AN39" s="76"/>
      <c r="AO39" s="76">
        <f t="shared" si="34"/>
        <v>3.809726508460147E-2</v>
      </c>
      <c r="AP39" s="76">
        <f t="shared" si="35"/>
        <v>1.519564577817005E-2</v>
      </c>
      <c r="AQ39" s="76">
        <f t="shared" si="41"/>
        <v>8.1743869209809264E-2</v>
      </c>
      <c r="AR39" s="76">
        <f t="shared" si="36"/>
        <v>2.0938872002701791E-2</v>
      </c>
      <c r="AS39" s="76">
        <f t="shared" si="37"/>
        <v>1.8709677419354838</v>
      </c>
      <c r="AT39" s="76">
        <f t="shared" si="38"/>
        <v>3.9246658566221143E-2</v>
      </c>
      <c r="AU39" s="76">
        <f t="shared" si="45"/>
        <v>1.0771219302024989E-2</v>
      </c>
      <c r="AV39" s="76">
        <f t="shared" si="39"/>
        <v>1.8796992481203006E-2</v>
      </c>
      <c r="AW39" s="76"/>
      <c r="AY39" s="97">
        <v>358</v>
      </c>
      <c r="AZ39" s="97">
        <v>1033</v>
      </c>
      <c r="BA39" s="97">
        <v>30</v>
      </c>
      <c r="BB39" s="97">
        <v>62</v>
      </c>
      <c r="BC39" s="97">
        <v>2494</v>
      </c>
      <c r="BD39" s="97">
        <v>323</v>
      </c>
      <c r="BE39" s="97">
        <v>25</v>
      </c>
      <c r="BF39" s="97">
        <v>100</v>
      </c>
      <c r="BG39" s="97"/>
      <c r="BI39" s="99">
        <v>9397</v>
      </c>
      <c r="BJ39" s="99">
        <v>67980</v>
      </c>
      <c r="BK39" s="99">
        <v>367</v>
      </c>
      <c r="BL39" s="99">
        <v>2961</v>
      </c>
      <c r="BM39" s="99">
        <v>1333</v>
      </c>
      <c r="BN39" s="99">
        <v>8230</v>
      </c>
      <c r="BO39" s="99">
        <v>2321</v>
      </c>
      <c r="BP39" s="99">
        <v>5320</v>
      </c>
      <c r="BQ39" s="101"/>
    </row>
    <row r="40" spans="1:69">
      <c r="A40" s="4">
        <v>1840</v>
      </c>
      <c r="B40" s="95">
        <f t="shared" si="46"/>
        <v>60.884057543985946</v>
      </c>
      <c r="D40" s="51"/>
      <c r="E40" s="51">
        <f t="shared" si="47"/>
        <v>43.36782249622361</v>
      </c>
      <c r="F40" s="51"/>
      <c r="G40" s="51">
        <f t="shared" si="42"/>
        <v>43.120118638545925</v>
      </c>
      <c r="H40" s="51">
        <f t="shared" si="43"/>
        <v>50.36030543173888</v>
      </c>
      <c r="Q40" s="51"/>
      <c r="U40" s="76">
        <f t="shared" si="19"/>
        <v>0.10061326178612495</v>
      </c>
      <c r="V40" s="76">
        <f t="shared" si="20"/>
        <v>0.27481793790724418</v>
      </c>
      <c r="W40" s="76">
        <f t="shared" si="21"/>
        <v>6.5159064775776156E-3</v>
      </c>
      <c r="X40" s="76">
        <f t="shared" si="22"/>
        <v>1.0348792640858567E-2</v>
      </c>
      <c r="Y40" s="76">
        <f t="shared" si="23"/>
        <v>0.50919892679187428</v>
      </c>
      <c r="Z40" s="76">
        <f t="shared" si="24"/>
        <v>7.6082790341126874E-2</v>
      </c>
      <c r="AA40" s="76">
        <f t="shared" si="25"/>
        <v>5.7493292449214261E-3</v>
      </c>
      <c r="AB40" s="76">
        <f t="shared" si="26"/>
        <v>1.6673054810272134E-2</v>
      </c>
      <c r="AC40" s="76">
        <f t="shared" si="27"/>
        <v>0</v>
      </c>
      <c r="AE40" s="76">
        <f t="shared" si="28"/>
        <v>25.34819449604398</v>
      </c>
      <c r="AF40" s="76">
        <f t="shared" si="29"/>
        <v>37.318015684016778</v>
      </c>
      <c r="AG40" s="76">
        <f t="shared" si="40"/>
        <v>47.518059547908663</v>
      </c>
      <c r="AH40" s="76">
        <f t="shared" si="30"/>
        <v>35.320127962443685</v>
      </c>
      <c r="AI40" s="76">
        <f t="shared" si="31"/>
        <v>74.996976308269296</v>
      </c>
      <c r="AJ40" s="76">
        <f t="shared" si="32"/>
        <v>46.785701007053625</v>
      </c>
      <c r="AK40" s="76">
        <f t="shared" si="44"/>
        <v>39.853816588444083</v>
      </c>
      <c r="AL40" s="76">
        <f t="shared" si="33"/>
        <v>26.30904706365877</v>
      </c>
      <c r="AM40" s="76"/>
      <c r="AN40" s="76"/>
      <c r="AO40" s="76">
        <f t="shared" si="34"/>
        <v>5.1204525504730321E-2</v>
      </c>
      <c r="AP40" s="76">
        <f t="shared" si="35"/>
        <v>1.7617573345127525E-2</v>
      </c>
      <c r="AQ40" s="76">
        <f t="shared" si="41"/>
        <v>8.8082901554404139E-2</v>
      </c>
      <c r="AR40" s="76">
        <f t="shared" si="36"/>
        <v>1.8206338503034391E-2</v>
      </c>
      <c r="AS40" s="76">
        <f t="shared" si="37"/>
        <v>1.9211858279103398</v>
      </c>
      <c r="AT40" s="76">
        <f t="shared" si="38"/>
        <v>4.4828364950316169E-2</v>
      </c>
      <c r="AU40" s="76">
        <f t="shared" si="45"/>
        <v>1.1778563015312132E-2</v>
      </c>
      <c r="AV40" s="76">
        <f t="shared" si="39"/>
        <v>2.000919963201472E-2</v>
      </c>
      <c r="AW40" s="76"/>
      <c r="AY40" s="97">
        <v>525</v>
      </c>
      <c r="AZ40" s="97">
        <v>1434</v>
      </c>
      <c r="BA40" s="97">
        <v>34</v>
      </c>
      <c r="BB40" s="97">
        <v>54</v>
      </c>
      <c r="BC40" s="97">
        <v>2657</v>
      </c>
      <c r="BD40" s="97">
        <v>397</v>
      </c>
      <c r="BE40" s="97">
        <v>30</v>
      </c>
      <c r="BF40" s="97">
        <v>87</v>
      </c>
      <c r="BG40" s="97"/>
      <c r="BI40" s="99">
        <v>10253</v>
      </c>
      <c r="BJ40" s="99">
        <v>81396</v>
      </c>
      <c r="BK40" s="99">
        <v>386</v>
      </c>
      <c r="BL40" s="99">
        <v>2966</v>
      </c>
      <c r="BM40" s="99">
        <v>1383</v>
      </c>
      <c r="BN40" s="99">
        <v>8856</v>
      </c>
      <c r="BO40" s="99">
        <v>2547</v>
      </c>
      <c r="BP40" s="99">
        <v>4348</v>
      </c>
      <c r="BQ40" s="101"/>
    </row>
    <row r="41" spans="1:69">
      <c r="A41" s="4">
        <v>1841</v>
      </c>
      <c r="B41" s="95">
        <f t="shared" ref="B41:B50" si="48">(GEOMEAN(H41:I41)/GEOMEAN(H$51:I$51))*B$51</f>
        <v>57.529006923711478</v>
      </c>
      <c r="D41" s="51"/>
      <c r="E41" s="51">
        <f t="shared" si="47"/>
        <v>41.05272616061113</v>
      </c>
      <c r="F41" s="51"/>
      <c r="G41" s="51">
        <f t="shared" si="42"/>
        <v>40.818245431516324</v>
      </c>
      <c r="H41" s="51">
        <f t="shared" si="43"/>
        <v>47.412128480351271</v>
      </c>
      <c r="I41" s="51">
        <f t="shared" ref="I41:I61" si="49">(AF41^V$8)*(AH41^X$8)*(AI41^Y$8)*(AJ41^Z$8)*(AL41^AB$8)*(AG41^W$8)*(AK41^AA$8)*(AE41^U$8)</f>
        <v>49.410838185887499</v>
      </c>
      <c r="Q41" s="51"/>
      <c r="U41" s="76">
        <f t="shared" si="19"/>
        <v>0.10349764778073225</v>
      </c>
      <c r="V41" s="76">
        <f t="shared" si="20"/>
        <v>0.31417467784823072</v>
      </c>
      <c r="W41" s="76">
        <f t="shared" si="21"/>
        <v>5.3180609531601553E-3</v>
      </c>
      <c r="X41" s="76">
        <f t="shared" si="22"/>
        <v>1.0227040294538761E-2</v>
      </c>
      <c r="Y41" s="76">
        <f t="shared" si="23"/>
        <v>0.47044385354878299</v>
      </c>
      <c r="Z41" s="76">
        <f t="shared" si="24"/>
        <v>7.1589282061771328E-2</v>
      </c>
      <c r="AA41" s="76">
        <f t="shared" si="25"/>
        <v>7.5680098179586831E-3</v>
      </c>
      <c r="AB41" s="76">
        <f t="shared" si="26"/>
        <v>1.7181427694825117E-2</v>
      </c>
      <c r="AC41" s="76">
        <f t="shared" si="27"/>
        <v>0</v>
      </c>
      <c r="AE41" s="76">
        <f t="shared" si="28"/>
        <v>24.644757278345068</v>
      </c>
      <c r="AF41" s="76">
        <f t="shared" si="29"/>
        <v>33.065339447812825</v>
      </c>
      <c r="AG41" s="76">
        <f t="shared" si="40"/>
        <v>23.773242553480127</v>
      </c>
      <c r="AH41" s="76">
        <f t="shared" si="30"/>
        <v>32.937024315100288</v>
      </c>
      <c r="AI41" s="76">
        <f t="shared" si="31"/>
        <v>72.465435976289911</v>
      </c>
      <c r="AJ41" s="76">
        <f t="shared" si="32"/>
        <v>43.825076448125003</v>
      </c>
      <c r="AK41" s="76">
        <f t="shared" si="44"/>
        <v>46.994292060540317</v>
      </c>
      <c r="AL41" s="76">
        <f t="shared" si="33"/>
        <v>34.353715082512714</v>
      </c>
      <c r="AM41" s="76"/>
      <c r="AN41" s="76"/>
      <c r="AO41" s="76">
        <f t="shared" si="34"/>
        <v>4.9783549783549784E-2</v>
      </c>
      <c r="AP41" s="76">
        <f t="shared" si="35"/>
        <v>1.5609914734905842E-2</v>
      </c>
      <c r="AQ41" s="76">
        <f t="shared" si="41"/>
        <v>4.4067796610169491E-2</v>
      </c>
      <c r="AR41" s="76">
        <f t="shared" si="36"/>
        <v>1.6977928692699491E-2</v>
      </c>
      <c r="AS41" s="76">
        <f t="shared" si="37"/>
        <v>1.8563357546408394</v>
      </c>
      <c r="AT41" s="76">
        <f t="shared" si="38"/>
        <v>4.1991601679664065E-2</v>
      </c>
      <c r="AU41" s="76">
        <f t="shared" si="45"/>
        <v>1.3888888888888888E-2</v>
      </c>
      <c r="AV41" s="76">
        <f t="shared" si="39"/>
        <v>2.6127527216174184E-2</v>
      </c>
      <c r="AW41" s="76"/>
      <c r="AY41" s="97">
        <v>506</v>
      </c>
      <c r="AZ41" s="97">
        <v>1536</v>
      </c>
      <c r="BA41" s="97">
        <v>26</v>
      </c>
      <c r="BB41" s="97">
        <v>50</v>
      </c>
      <c r="BC41" s="97">
        <v>2300</v>
      </c>
      <c r="BD41" s="97">
        <v>350</v>
      </c>
      <c r="BE41" s="97">
        <v>37</v>
      </c>
      <c r="BF41" s="97">
        <v>84</v>
      </c>
      <c r="BG41" s="97"/>
      <c r="BI41" s="99">
        <v>10164</v>
      </c>
      <c r="BJ41" s="99">
        <v>98399</v>
      </c>
      <c r="BK41" s="99">
        <v>590</v>
      </c>
      <c r="BL41" s="99">
        <v>2945</v>
      </c>
      <c r="BM41" s="99">
        <v>1239</v>
      </c>
      <c r="BN41" s="99">
        <v>8335</v>
      </c>
      <c r="BO41" s="99">
        <v>2664</v>
      </c>
      <c r="BP41" s="99">
        <v>3215</v>
      </c>
      <c r="BQ41" s="101"/>
    </row>
    <row r="42" spans="1:69">
      <c r="A42" s="4">
        <v>1842</v>
      </c>
      <c r="B42" s="95">
        <f t="shared" si="48"/>
        <v>51.753911065804502</v>
      </c>
      <c r="H42" s="51">
        <f t="shared" si="43"/>
        <v>42.930979666793107</v>
      </c>
      <c r="I42" s="51">
        <f t="shared" si="49"/>
        <v>44.162481722475157</v>
      </c>
      <c r="U42" s="76">
        <f t="shared" si="19"/>
        <v>9.3220338983050849E-2</v>
      </c>
      <c r="V42" s="76">
        <f t="shared" si="20"/>
        <v>0.24209803023362345</v>
      </c>
      <c r="W42" s="76">
        <f t="shared" si="21"/>
        <v>2.5194686211635364E-3</v>
      </c>
      <c r="X42" s="76">
        <f t="shared" si="22"/>
        <v>1.3513513513513514E-2</v>
      </c>
      <c r="Y42" s="76">
        <f t="shared" si="23"/>
        <v>0.52931745304626665</v>
      </c>
      <c r="Z42" s="76">
        <f t="shared" si="24"/>
        <v>8.5203847915712325E-2</v>
      </c>
      <c r="AA42" s="76">
        <f t="shared" si="25"/>
        <v>7.7874484654145669E-3</v>
      </c>
      <c r="AB42" s="76">
        <f t="shared" si="26"/>
        <v>2.6339899221255153E-2</v>
      </c>
      <c r="AC42" s="76">
        <f t="shared" si="27"/>
        <v>0</v>
      </c>
      <c r="AE42" s="76">
        <f t="shared" si="28"/>
        <v>21.445506583410861</v>
      </c>
      <c r="AF42" s="76">
        <f t="shared" si="29"/>
        <v>31.196401114743331</v>
      </c>
      <c r="AG42" s="76">
        <f t="shared" si="40"/>
        <v>8.2879428541086178</v>
      </c>
      <c r="AH42" s="76">
        <f t="shared" si="30"/>
        <v>42.756613073367575</v>
      </c>
      <c r="AI42" s="76">
        <f t="shared" si="31"/>
        <v>66.187879781988002</v>
      </c>
      <c r="AJ42" s="76">
        <f t="shared" si="32"/>
        <v>33.608257948304647</v>
      </c>
      <c r="AK42" s="76">
        <f t="shared" si="44"/>
        <v>48.500011367707714</v>
      </c>
      <c r="AL42" s="76">
        <f t="shared" si="33"/>
        <v>30.073084320382083</v>
      </c>
      <c r="AM42" s="76"/>
      <c r="AN42" s="76"/>
      <c r="AO42" s="76">
        <f t="shared" si="34"/>
        <v>4.3320915380521553E-2</v>
      </c>
      <c r="AP42" s="76">
        <f t="shared" si="35"/>
        <v>1.4727602062142957E-2</v>
      </c>
      <c r="AQ42" s="76">
        <f t="shared" si="41"/>
        <v>1.5363128491620111E-2</v>
      </c>
      <c r="AR42" s="76">
        <f t="shared" si="36"/>
        <v>2.2039596563317145E-2</v>
      </c>
      <c r="AS42" s="76">
        <f t="shared" si="37"/>
        <v>1.6955245781364636</v>
      </c>
      <c r="AT42" s="76">
        <f t="shared" si="38"/>
        <v>3.2202216066481992E-2</v>
      </c>
      <c r="AU42" s="76">
        <f t="shared" si="45"/>
        <v>1.433389544688027E-2</v>
      </c>
      <c r="AV42" s="76">
        <f t="shared" si="39"/>
        <v>2.2871917263325377E-2</v>
      </c>
      <c r="AW42" s="76"/>
      <c r="AY42" s="97">
        <v>407</v>
      </c>
      <c r="AZ42" s="97">
        <v>1057</v>
      </c>
      <c r="BA42" s="97">
        <v>11</v>
      </c>
      <c r="BB42" s="97">
        <v>59</v>
      </c>
      <c r="BC42" s="97">
        <v>2311</v>
      </c>
      <c r="BD42" s="97">
        <v>372</v>
      </c>
      <c r="BE42" s="97">
        <v>34</v>
      </c>
      <c r="BF42" s="97">
        <v>115</v>
      </c>
      <c r="BG42" s="97"/>
      <c r="BI42" s="99">
        <v>9395</v>
      </c>
      <c r="BJ42" s="99">
        <v>71770</v>
      </c>
      <c r="BK42" s="99">
        <v>716</v>
      </c>
      <c r="BL42" s="99">
        <v>2677</v>
      </c>
      <c r="BM42" s="99">
        <v>1363</v>
      </c>
      <c r="BN42" s="99">
        <v>11552</v>
      </c>
      <c r="BO42" s="99">
        <v>2372</v>
      </c>
      <c r="BP42" s="99">
        <v>5028</v>
      </c>
      <c r="BQ42" s="101"/>
    </row>
    <row r="43" spans="1:69">
      <c r="A43" s="4">
        <v>1843</v>
      </c>
      <c r="B43" s="95">
        <f t="shared" si="48"/>
        <v>44.784864991854555</v>
      </c>
      <c r="H43" s="51">
        <f t="shared" si="43"/>
        <v>37.442660349347037</v>
      </c>
      <c r="I43" s="51">
        <f t="shared" si="49"/>
        <v>37.916981759186598</v>
      </c>
      <c r="U43" s="76">
        <f t="shared" si="19"/>
        <v>9.6741854636591476E-2</v>
      </c>
      <c r="V43" s="76">
        <f t="shared" si="20"/>
        <v>0.27994987468671678</v>
      </c>
      <c r="W43" s="76">
        <f t="shared" si="21"/>
        <v>2.255639097744361E-3</v>
      </c>
      <c r="X43" s="76">
        <f t="shared" si="22"/>
        <v>1.0275689223057645E-2</v>
      </c>
      <c r="Y43" s="76">
        <f t="shared" si="23"/>
        <v>0.47844611528822056</v>
      </c>
      <c r="Z43" s="76">
        <f t="shared" si="24"/>
        <v>0.10225563909774436</v>
      </c>
      <c r="AA43" s="76">
        <f t="shared" si="25"/>
        <v>8.771929824561403E-3</v>
      </c>
      <c r="AB43" s="76">
        <f t="shared" si="26"/>
        <v>2.1303258145363407E-2</v>
      </c>
      <c r="AC43" s="76">
        <f t="shared" si="27"/>
        <v>0</v>
      </c>
      <c r="AE43" s="76">
        <f t="shared" si="28"/>
        <v>19.00395154892367</v>
      </c>
      <c r="AF43" s="76">
        <f t="shared" si="29"/>
        <v>30.916351738417603</v>
      </c>
      <c r="AG43" s="76">
        <f t="shared" si="40"/>
        <v>6.4137749191636759</v>
      </c>
      <c r="AH43" s="76">
        <f t="shared" si="30"/>
        <v>35.732084464750983</v>
      </c>
      <c r="AI43" s="76">
        <f t="shared" si="31"/>
        <v>51.607534899541029</v>
      </c>
      <c r="AJ43" s="76">
        <f t="shared" si="32"/>
        <v>34.885667698698477</v>
      </c>
      <c r="AK43" s="76">
        <f t="shared" si="44"/>
        <v>47.810099310682922</v>
      </c>
      <c r="AL43" s="76">
        <f t="shared" si="33"/>
        <v>24.185683085432093</v>
      </c>
      <c r="AM43" s="76"/>
      <c r="AN43" s="76"/>
      <c r="AO43" s="76">
        <f t="shared" si="34"/>
        <v>3.8388861263053208E-2</v>
      </c>
      <c r="AP43" s="76">
        <f t="shared" si="35"/>
        <v>1.4595392716676902E-2</v>
      </c>
      <c r="AQ43" s="76">
        <f t="shared" si="41"/>
        <v>1.1889035667107001E-2</v>
      </c>
      <c r="AR43" s="76">
        <f t="shared" si="36"/>
        <v>1.8418688230008983E-2</v>
      </c>
      <c r="AS43" s="76">
        <f t="shared" si="37"/>
        <v>1.3220221606648199</v>
      </c>
      <c r="AT43" s="76">
        <f t="shared" si="38"/>
        <v>3.3426183844011144E-2</v>
      </c>
      <c r="AU43" s="76">
        <f t="shared" si="45"/>
        <v>1.4129995962858296E-2</v>
      </c>
      <c r="AV43" s="76">
        <f t="shared" si="39"/>
        <v>1.8394286950876432E-2</v>
      </c>
      <c r="AW43" s="76"/>
      <c r="AY43" s="97">
        <v>386</v>
      </c>
      <c r="AZ43" s="97">
        <v>1117</v>
      </c>
      <c r="BA43" s="97">
        <v>9</v>
      </c>
      <c r="BB43" s="97">
        <v>41</v>
      </c>
      <c r="BC43" s="97">
        <v>1909</v>
      </c>
      <c r="BD43" s="97">
        <v>408</v>
      </c>
      <c r="BE43" s="97">
        <v>35</v>
      </c>
      <c r="BF43" s="97">
        <v>85</v>
      </c>
      <c r="BG43" s="97"/>
      <c r="BI43" s="99">
        <v>10055</v>
      </c>
      <c r="BJ43" s="99">
        <v>76531</v>
      </c>
      <c r="BK43" s="99">
        <v>757</v>
      </c>
      <c r="BL43" s="99">
        <v>2226</v>
      </c>
      <c r="BM43" s="99">
        <v>1444</v>
      </c>
      <c r="BN43" s="99">
        <v>12206</v>
      </c>
      <c r="BO43" s="99">
        <v>2477</v>
      </c>
      <c r="BP43" s="99">
        <v>4621</v>
      </c>
      <c r="BQ43" s="101"/>
    </row>
    <row r="44" spans="1:69">
      <c r="A44" s="4">
        <v>1844</v>
      </c>
      <c r="B44" s="95">
        <f t="shared" si="48"/>
        <v>41.301097093132881</v>
      </c>
      <c r="H44" s="51">
        <f t="shared" si="43"/>
        <v>34.492939537163515</v>
      </c>
      <c r="I44" s="51">
        <f t="shared" si="49"/>
        <v>35.005064997598311</v>
      </c>
      <c r="U44" s="76">
        <f t="shared" si="19"/>
        <v>9.5470043838285432E-2</v>
      </c>
      <c r="V44" s="76">
        <f t="shared" si="20"/>
        <v>0.27009254749147588</v>
      </c>
      <c r="W44" s="76">
        <f t="shared" si="21"/>
        <v>1.948368241597662E-3</v>
      </c>
      <c r="X44" s="76">
        <f t="shared" si="22"/>
        <v>1.1446663419386265E-2</v>
      </c>
      <c r="Y44" s="76">
        <f t="shared" si="23"/>
        <v>0.47077447637603509</v>
      </c>
      <c r="Z44" s="76">
        <f t="shared" si="24"/>
        <v>0.12177301509985387</v>
      </c>
      <c r="AA44" s="76">
        <f t="shared" si="25"/>
        <v>8.2805650267900634E-3</v>
      </c>
      <c r="AB44" s="76">
        <f t="shared" si="26"/>
        <v>2.0214320506575744E-2</v>
      </c>
      <c r="AC44" s="76">
        <f t="shared" si="27"/>
        <v>0</v>
      </c>
      <c r="AE44" s="76">
        <f t="shared" si="28"/>
        <v>16.598662375507747</v>
      </c>
      <c r="AF44" s="76">
        <f t="shared" si="29"/>
        <v>28.172571155285169</v>
      </c>
      <c r="AG44" s="76">
        <f t="shared" si="40"/>
        <v>4.9098496916262446</v>
      </c>
      <c r="AH44" s="76">
        <f t="shared" si="30"/>
        <v>32.716025981877337</v>
      </c>
      <c r="AI44" s="76">
        <f t="shared" si="31"/>
        <v>48.967011007123155</v>
      </c>
      <c r="AJ44" s="76">
        <f t="shared" si="32"/>
        <v>29.19173450397356</v>
      </c>
      <c r="AK44" s="76">
        <f t="shared" si="44"/>
        <v>48.520466876508941</v>
      </c>
      <c r="AL44" s="76">
        <f t="shared" si="33"/>
        <v>25.373714587950492</v>
      </c>
      <c r="AM44" s="76"/>
      <c r="AN44" s="76"/>
      <c r="AO44" s="76">
        <f t="shared" si="34"/>
        <v>3.3530065862629375E-2</v>
      </c>
      <c r="AP44" s="76">
        <f t="shared" si="35"/>
        <v>1.3300073156398787E-2</v>
      </c>
      <c r="AQ44" s="76">
        <f t="shared" si="41"/>
        <v>9.1012514220705342E-3</v>
      </c>
      <c r="AR44" s="76">
        <f t="shared" si="36"/>
        <v>1.6864011481880159E-2</v>
      </c>
      <c r="AS44" s="76">
        <f t="shared" si="37"/>
        <v>1.2543802725502919</v>
      </c>
      <c r="AT44" s="76">
        <f t="shared" si="38"/>
        <v>2.7970463190870442E-2</v>
      </c>
      <c r="AU44" s="76">
        <f t="shared" si="45"/>
        <v>1.433994095318431E-2</v>
      </c>
      <c r="AV44" s="76">
        <f t="shared" si="39"/>
        <v>1.9297837712159961E-2</v>
      </c>
      <c r="AW44" s="76"/>
      <c r="AY44" s="97">
        <v>392</v>
      </c>
      <c r="AZ44" s="97">
        <v>1109</v>
      </c>
      <c r="BA44" s="97">
        <v>8</v>
      </c>
      <c r="BB44" s="97">
        <v>47</v>
      </c>
      <c r="BC44" s="97">
        <v>1933</v>
      </c>
      <c r="BD44" s="97">
        <v>500</v>
      </c>
      <c r="BE44" s="97">
        <v>34</v>
      </c>
      <c r="BF44" s="97">
        <v>83</v>
      </c>
      <c r="BG44" s="97"/>
      <c r="BI44" s="99">
        <v>11691</v>
      </c>
      <c r="BJ44" s="99">
        <v>83383</v>
      </c>
      <c r="BK44" s="99">
        <v>879</v>
      </c>
      <c r="BL44" s="99">
        <v>2787</v>
      </c>
      <c r="BM44" s="99">
        <v>1541</v>
      </c>
      <c r="BN44" s="99">
        <v>17876</v>
      </c>
      <c r="BO44" s="99">
        <v>2371</v>
      </c>
      <c r="BP44" s="99">
        <v>4301</v>
      </c>
      <c r="BQ44" s="101"/>
    </row>
    <row r="45" spans="1:69">
      <c r="A45" s="4">
        <v>1845</v>
      </c>
      <c r="B45" s="95">
        <f t="shared" si="48"/>
        <v>40.420013421154785</v>
      </c>
      <c r="H45" s="51">
        <f t="shared" si="43"/>
        <v>33.754452848257877</v>
      </c>
      <c r="I45" s="51">
        <f t="shared" si="49"/>
        <v>34.260977804198134</v>
      </c>
      <c r="U45" s="76">
        <f t="shared" si="19"/>
        <v>7.7529862519720535E-2</v>
      </c>
      <c r="V45" s="76">
        <f t="shared" si="20"/>
        <v>0.33896777101645253</v>
      </c>
      <c r="W45" s="76">
        <f t="shared" si="21"/>
        <v>3.6060401171963039E-3</v>
      </c>
      <c r="X45" s="76">
        <f t="shared" si="22"/>
        <v>8.338967771016453E-3</v>
      </c>
      <c r="Y45" s="76">
        <f t="shared" si="23"/>
        <v>0.41424385846292539</v>
      </c>
      <c r="Z45" s="76">
        <f t="shared" si="24"/>
        <v>0.12463376155059724</v>
      </c>
      <c r="AA45" s="76">
        <f t="shared" si="25"/>
        <v>9.01510029299076E-3</v>
      </c>
      <c r="AB45" s="76">
        <f t="shared" si="26"/>
        <v>2.3664638269100743E-2</v>
      </c>
      <c r="AC45" s="76">
        <f t="shared" si="27"/>
        <v>0</v>
      </c>
      <c r="AE45" s="76">
        <f t="shared" si="28"/>
        <v>14.028596241123022</v>
      </c>
      <c r="AF45" s="76">
        <f t="shared" si="29"/>
        <v>29.011520410506652</v>
      </c>
      <c r="AG45" s="76">
        <f t="shared" si="40"/>
        <v>6.187466493103182</v>
      </c>
      <c r="AH45" s="76">
        <f t="shared" si="30"/>
        <v>36.810080558922081</v>
      </c>
      <c r="AI45" s="76">
        <f t="shared" si="31"/>
        <v>47.048961645319288</v>
      </c>
      <c r="AJ45" s="76">
        <f t="shared" si="32"/>
        <v>30.992674216963412</v>
      </c>
      <c r="AK45" s="76">
        <f t="shared" si="44"/>
        <v>45.616299674538638</v>
      </c>
      <c r="AL45" s="76">
        <f t="shared" si="33"/>
        <v>24.068862009736396</v>
      </c>
      <c r="AM45" s="76"/>
      <c r="AN45" s="76"/>
      <c r="AO45" s="76">
        <f t="shared" si="34"/>
        <v>2.8338413378367247E-2</v>
      </c>
      <c r="AP45" s="76">
        <f t="shared" si="35"/>
        <v>1.3696135212909336E-2</v>
      </c>
      <c r="AQ45" s="76">
        <f t="shared" si="41"/>
        <v>1.1469534050179211E-2</v>
      </c>
      <c r="AR45" s="76">
        <f t="shared" si="36"/>
        <v>1.8974358974358976E-2</v>
      </c>
      <c r="AS45" s="76">
        <f t="shared" si="37"/>
        <v>1.2052459016393442</v>
      </c>
      <c r="AT45" s="76">
        <f t="shared" si="38"/>
        <v>2.9696058425518205E-2</v>
      </c>
      <c r="AU45" s="76">
        <f t="shared" si="45"/>
        <v>1.3481631277384564E-2</v>
      </c>
      <c r="AV45" s="76">
        <f t="shared" si="39"/>
        <v>1.8305439330543932E-2</v>
      </c>
      <c r="AW45" s="76"/>
      <c r="AY45" s="97">
        <v>344</v>
      </c>
      <c r="AZ45" s="97">
        <v>1504</v>
      </c>
      <c r="BA45" s="97">
        <v>16</v>
      </c>
      <c r="BB45" s="97">
        <v>37</v>
      </c>
      <c r="BC45" s="97">
        <v>1838</v>
      </c>
      <c r="BD45" s="97">
        <v>553</v>
      </c>
      <c r="BE45" s="97">
        <v>40</v>
      </c>
      <c r="BF45" s="97">
        <v>105</v>
      </c>
      <c r="BG45" s="97"/>
      <c r="BI45" s="99">
        <v>12139</v>
      </c>
      <c r="BJ45" s="99">
        <v>109812</v>
      </c>
      <c r="BK45" s="99">
        <v>1395</v>
      </c>
      <c r="BL45" s="99">
        <v>1950</v>
      </c>
      <c r="BM45" s="99">
        <v>1525</v>
      </c>
      <c r="BN45" s="99">
        <v>18622</v>
      </c>
      <c r="BO45" s="99">
        <v>2967</v>
      </c>
      <c r="BP45" s="99">
        <v>5736</v>
      </c>
      <c r="BQ45" s="101"/>
    </row>
    <row r="46" spans="1:69">
      <c r="A46" s="4">
        <v>1846</v>
      </c>
      <c r="B46" s="95">
        <f t="shared" si="48"/>
        <v>45.050614530984539</v>
      </c>
      <c r="H46" s="51">
        <f t="shared" si="43"/>
        <v>37.662668683073534</v>
      </c>
      <c r="I46" s="51">
        <f t="shared" si="49"/>
        <v>38.144178720656662</v>
      </c>
      <c r="U46" s="76">
        <f t="shared" si="19"/>
        <v>6.0838747784997045E-2</v>
      </c>
      <c r="V46" s="76">
        <f t="shared" si="20"/>
        <v>0.33097066351644022</v>
      </c>
      <c r="W46" s="76">
        <f t="shared" si="21"/>
        <v>4.3315613309706635E-3</v>
      </c>
      <c r="X46" s="76">
        <f t="shared" si="22"/>
        <v>1.1222681630242174E-2</v>
      </c>
      <c r="Y46" s="76">
        <f t="shared" si="23"/>
        <v>0.44477259303012406</v>
      </c>
      <c r="Z46" s="76">
        <f t="shared" si="24"/>
        <v>0.12010238235873204</v>
      </c>
      <c r="AA46" s="76">
        <f t="shared" si="25"/>
        <v>7.4817877534947824E-3</v>
      </c>
      <c r="AB46" s="76">
        <f t="shared" si="26"/>
        <v>2.0279582594999016E-2</v>
      </c>
      <c r="AC46" s="76">
        <f t="shared" si="27"/>
        <v>0</v>
      </c>
      <c r="AE46" s="76">
        <f t="shared" si="28"/>
        <v>16.137440014044707</v>
      </c>
      <c r="AF46" s="76">
        <f t="shared" si="29"/>
        <v>34.09265551197587</v>
      </c>
      <c r="AG46" s="76">
        <f t="shared" si="40"/>
        <v>7.5498308950913113</v>
      </c>
      <c r="AH46" s="76">
        <f t="shared" si="30"/>
        <v>37.676140283845385</v>
      </c>
      <c r="AI46" s="76">
        <f t="shared" si="31"/>
        <v>51.180595326521924</v>
      </c>
      <c r="AJ46" s="76">
        <f t="shared" si="32"/>
        <v>30.120853714586403</v>
      </c>
      <c r="AK46" s="76">
        <f t="shared" si="44"/>
        <v>50.343141377305521</v>
      </c>
      <c r="AL46" s="76">
        <f t="shared" si="33"/>
        <v>31.753645344159754</v>
      </c>
      <c r="AM46" s="76"/>
      <c r="AN46" s="76"/>
      <c r="AO46" s="76">
        <f t="shared" si="34"/>
        <v>3.2598375356050216E-2</v>
      </c>
      <c r="AP46" s="76">
        <f t="shared" si="35"/>
        <v>1.6094903440153959E-2</v>
      </c>
      <c r="AQ46" s="76">
        <f t="shared" si="41"/>
        <v>1.3994910941475827E-2</v>
      </c>
      <c r="AR46" s="76">
        <f t="shared" si="36"/>
        <v>1.9420783645655876E-2</v>
      </c>
      <c r="AS46" s="76">
        <f t="shared" si="37"/>
        <v>1.3110853163087637</v>
      </c>
      <c r="AT46" s="76">
        <f t="shared" si="38"/>
        <v>2.8860711582134747E-2</v>
      </c>
      <c r="AU46" s="76">
        <f t="shared" si="45"/>
        <v>1.4878621769772905E-2</v>
      </c>
      <c r="AV46" s="76">
        <f t="shared" si="39"/>
        <v>2.4150058616647128E-2</v>
      </c>
      <c r="AW46" s="76"/>
      <c r="AY46" s="97">
        <v>309</v>
      </c>
      <c r="AZ46" s="97">
        <v>1681</v>
      </c>
      <c r="BA46" s="97">
        <v>22</v>
      </c>
      <c r="BB46" s="97">
        <v>57</v>
      </c>
      <c r="BC46" s="97">
        <v>2259</v>
      </c>
      <c r="BD46" s="97">
        <v>610</v>
      </c>
      <c r="BE46" s="97">
        <v>38</v>
      </c>
      <c r="BF46" s="97">
        <v>103</v>
      </c>
      <c r="BG46" s="97"/>
      <c r="BI46" s="99">
        <v>9479</v>
      </c>
      <c r="BJ46" s="99">
        <v>104443</v>
      </c>
      <c r="BK46" s="99">
        <v>1572</v>
      </c>
      <c r="BL46" s="99">
        <v>2935</v>
      </c>
      <c r="BM46" s="99">
        <v>1723</v>
      </c>
      <c r="BN46" s="99">
        <v>21136</v>
      </c>
      <c r="BO46" s="99">
        <v>2554</v>
      </c>
      <c r="BP46" s="99">
        <v>4265</v>
      </c>
      <c r="BQ46" s="101"/>
    </row>
    <row r="47" spans="1:69">
      <c r="A47" s="4">
        <v>1847</v>
      </c>
      <c r="B47" s="95">
        <f t="shared" si="48"/>
        <v>40.940040072374984</v>
      </c>
      <c r="H47" s="51">
        <f t="shared" si="43"/>
        <v>34.43523339107562</v>
      </c>
      <c r="I47" s="51">
        <f t="shared" si="49"/>
        <v>34.453346770823146</v>
      </c>
      <c r="U47" s="76">
        <f t="shared" si="19"/>
        <v>6.6267315612130284E-2</v>
      </c>
      <c r="V47" s="76">
        <f t="shared" si="20"/>
        <v>0.31055784350430549</v>
      </c>
      <c r="W47" s="76">
        <f t="shared" si="21"/>
        <v>5.4286783976038935E-3</v>
      </c>
      <c r="X47" s="76">
        <f t="shared" si="22"/>
        <v>1.141894421564957E-2</v>
      </c>
      <c r="Y47" s="76">
        <f t="shared" si="23"/>
        <v>0.46143766379633094</v>
      </c>
      <c r="Z47" s="76">
        <f t="shared" si="24"/>
        <v>0.11681018345189068</v>
      </c>
      <c r="AA47" s="76">
        <f t="shared" si="25"/>
        <v>8.4238113066267307E-3</v>
      </c>
      <c r="AB47" s="76">
        <f t="shared" si="26"/>
        <v>1.9655559715462373E-2</v>
      </c>
      <c r="AC47" s="76">
        <f t="shared" si="27"/>
        <v>0</v>
      </c>
      <c r="AE47" s="76">
        <f t="shared" si="28"/>
        <v>19.595606781883227</v>
      </c>
      <c r="AF47" s="76">
        <f t="shared" si="29"/>
        <v>33.70294079147137</v>
      </c>
      <c r="AG47" s="76">
        <f t="shared" si="40"/>
        <v>9.7171567150034619</v>
      </c>
      <c r="AH47" s="76">
        <f t="shared" si="30"/>
        <v>39.159309947625353</v>
      </c>
      <c r="AI47" s="76">
        <f t="shared" si="31"/>
        <v>40.312421323007982</v>
      </c>
      <c r="AJ47" s="76">
        <f t="shared" si="32"/>
        <v>32.899502126764489</v>
      </c>
      <c r="AK47" s="76">
        <f t="shared" si="44"/>
        <v>50.821597555457487</v>
      </c>
      <c r="AL47" s="76">
        <f t="shared" si="33"/>
        <v>28.424746240034587</v>
      </c>
      <c r="AM47" s="76"/>
      <c r="AN47" s="76"/>
      <c r="AO47" s="76">
        <f t="shared" si="34"/>
        <v>3.9584032203958404E-2</v>
      </c>
      <c r="AP47" s="76">
        <f t="shared" si="35"/>
        <v>1.5910921855219244E-2</v>
      </c>
      <c r="AQ47" s="76">
        <f t="shared" si="41"/>
        <v>1.8012422360248446E-2</v>
      </c>
      <c r="AR47" s="76">
        <f t="shared" si="36"/>
        <v>2.0185307743216412E-2</v>
      </c>
      <c r="AS47" s="76">
        <f t="shared" si="37"/>
        <v>1.0326770004189358</v>
      </c>
      <c r="AT47" s="76">
        <f t="shared" si="38"/>
        <v>3.1523111896943672E-2</v>
      </c>
      <c r="AU47" s="76">
        <f t="shared" si="45"/>
        <v>1.5020026702269693E-2</v>
      </c>
      <c r="AV47" s="76">
        <f t="shared" si="39"/>
        <v>2.1618282890673256E-2</v>
      </c>
      <c r="AW47" s="76"/>
      <c r="AY47" s="97">
        <v>354</v>
      </c>
      <c r="AZ47" s="97">
        <v>1659</v>
      </c>
      <c r="BA47" s="97">
        <v>29</v>
      </c>
      <c r="BB47" s="97">
        <v>61</v>
      </c>
      <c r="BC47" s="97">
        <v>2465</v>
      </c>
      <c r="BD47" s="97">
        <v>624</v>
      </c>
      <c r="BE47" s="97">
        <v>45</v>
      </c>
      <c r="BF47" s="97">
        <v>105</v>
      </c>
      <c r="BG47" s="97"/>
      <c r="BI47" s="99">
        <v>8943</v>
      </c>
      <c r="BJ47" s="99">
        <v>104268</v>
      </c>
      <c r="BK47" s="99">
        <v>1610</v>
      </c>
      <c r="BL47" s="99">
        <v>3022</v>
      </c>
      <c r="BM47" s="99">
        <v>2387</v>
      </c>
      <c r="BN47" s="99">
        <v>19795</v>
      </c>
      <c r="BO47" s="99">
        <v>2996</v>
      </c>
      <c r="BP47" s="99">
        <v>4857</v>
      </c>
      <c r="BQ47" s="101"/>
    </row>
    <row r="48" spans="1:69">
      <c r="A48" s="4">
        <v>1848</v>
      </c>
      <c r="B48" s="95">
        <f t="shared" si="48"/>
        <v>43.247570170408331</v>
      </c>
      <c r="H48" s="51">
        <f t="shared" si="43"/>
        <v>36.245624882048098</v>
      </c>
      <c r="I48" s="51">
        <f t="shared" si="49"/>
        <v>36.526305894397076</v>
      </c>
      <c r="U48" s="76">
        <f t="shared" si="19"/>
        <v>7.354748113041952E-2</v>
      </c>
      <c r="V48" s="76">
        <f t="shared" si="20"/>
        <v>0.2892750570475689</v>
      </c>
      <c r="W48" s="76">
        <f t="shared" si="21"/>
        <v>4.5638055116728107E-3</v>
      </c>
      <c r="X48" s="76">
        <f t="shared" si="22"/>
        <v>9.6542039670001762E-3</v>
      </c>
      <c r="Y48" s="76">
        <f t="shared" si="23"/>
        <v>0.51535896085659116</v>
      </c>
      <c r="Z48" s="76">
        <f t="shared" si="24"/>
        <v>8.0217658416710552E-2</v>
      </c>
      <c r="AA48" s="76">
        <f t="shared" si="25"/>
        <v>1.2111637704054766E-2</v>
      </c>
      <c r="AB48" s="76">
        <f t="shared" si="26"/>
        <v>1.5271195365982097E-2</v>
      </c>
      <c r="AC48" s="76">
        <f t="shared" si="27"/>
        <v>0</v>
      </c>
      <c r="AE48" s="76">
        <f t="shared" si="28"/>
        <v>22.089562552333568</v>
      </c>
      <c r="AF48" s="76">
        <f t="shared" si="29"/>
        <v>30.594278190805131</v>
      </c>
      <c r="AG48" s="76">
        <f t="shared" si="40"/>
        <v>6.0667011706545315</v>
      </c>
      <c r="AH48" s="76">
        <f t="shared" si="30"/>
        <v>45.116063538590865</v>
      </c>
      <c r="AI48" s="76">
        <f t="shared" si="31"/>
        <v>48.979525513321008</v>
      </c>
      <c r="AJ48" s="76">
        <f t="shared" si="32"/>
        <v>25.414501073034085</v>
      </c>
      <c r="AK48" s="76">
        <f t="shared" si="44"/>
        <v>51.075835256347482</v>
      </c>
      <c r="AL48" s="76">
        <f t="shared" si="33"/>
        <v>24.047033137016673</v>
      </c>
      <c r="AM48" s="76"/>
      <c r="AN48" s="76"/>
      <c r="AO48" s="76">
        <f t="shared" si="34"/>
        <v>4.4621938232161873E-2</v>
      </c>
      <c r="AP48" s="76">
        <f t="shared" si="35"/>
        <v>1.4443344054828616E-2</v>
      </c>
      <c r="AQ48" s="76">
        <f t="shared" si="41"/>
        <v>1.124567474048443E-2</v>
      </c>
      <c r="AR48" s="76">
        <f t="shared" si="36"/>
        <v>2.3255813953488372E-2</v>
      </c>
      <c r="AS48" s="76">
        <f t="shared" si="37"/>
        <v>1.2547008547008547</v>
      </c>
      <c r="AT48" s="76">
        <f t="shared" si="38"/>
        <v>2.4351254862258219E-2</v>
      </c>
      <c r="AU48" s="76">
        <f t="shared" si="45"/>
        <v>1.5095165171734851E-2</v>
      </c>
      <c r="AV48" s="76">
        <f t="shared" si="39"/>
        <v>1.8288837502627706E-2</v>
      </c>
      <c r="AW48" s="76"/>
      <c r="AY48" s="97">
        <v>419</v>
      </c>
      <c r="AZ48" s="97">
        <v>1648</v>
      </c>
      <c r="BA48" s="97">
        <v>26</v>
      </c>
      <c r="BB48" s="97">
        <v>55</v>
      </c>
      <c r="BC48" s="97">
        <v>2936</v>
      </c>
      <c r="BD48" s="97">
        <v>457</v>
      </c>
      <c r="BE48" s="97">
        <v>69</v>
      </c>
      <c r="BF48" s="97">
        <v>87</v>
      </c>
      <c r="BG48" s="97"/>
      <c r="BI48" s="99">
        <v>9390</v>
      </c>
      <c r="BJ48" s="99">
        <v>114101</v>
      </c>
      <c r="BK48" s="99">
        <v>2312</v>
      </c>
      <c r="BL48" s="99">
        <v>2365</v>
      </c>
      <c r="BM48" s="99">
        <v>2340</v>
      </c>
      <c r="BN48" s="99">
        <v>18767</v>
      </c>
      <c r="BO48" s="99">
        <v>4571</v>
      </c>
      <c r="BP48" s="99">
        <v>4757</v>
      </c>
      <c r="BQ48" s="101"/>
    </row>
    <row r="49" spans="1:69">
      <c r="A49" s="4">
        <v>1849</v>
      </c>
      <c r="B49" s="95">
        <f t="shared" si="48"/>
        <v>37.077452999599494</v>
      </c>
      <c r="H49" s="51">
        <f t="shared" si="43"/>
        <v>31.045274351977366</v>
      </c>
      <c r="I49" s="51">
        <f t="shared" si="49"/>
        <v>31.344561840185793</v>
      </c>
      <c r="U49" s="76">
        <f t="shared" si="19"/>
        <v>7.3878627968337732E-2</v>
      </c>
      <c r="V49" s="76">
        <f t="shared" si="20"/>
        <v>0.33590420133955756</v>
      </c>
      <c r="W49" s="76">
        <f t="shared" si="21"/>
        <v>5.4800081185305462E-3</v>
      </c>
      <c r="X49" s="76">
        <f t="shared" si="22"/>
        <v>1.2177795818956769E-2</v>
      </c>
      <c r="Y49" s="76">
        <f t="shared" si="23"/>
        <v>0.45504363710168461</v>
      </c>
      <c r="Z49" s="76">
        <f t="shared" si="24"/>
        <v>8.3417901359853872E-2</v>
      </c>
      <c r="AA49" s="76">
        <f t="shared" si="25"/>
        <v>1.5222244773695961E-2</v>
      </c>
      <c r="AB49" s="76">
        <f t="shared" si="26"/>
        <v>1.8875583519382993E-2</v>
      </c>
      <c r="AC49" s="76">
        <f t="shared" si="27"/>
        <v>0</v>
      </c>
      <c r="AE49" s="76">
        <f t="shared" si="28"/>
        <v>14.351217993769591</v>
      </c>
      <c r="AF49" s="76">
        <f t="shared" si="29"/>
        <v>28.060812154863797</v>
      </c>
      <c r="AG49" s="76">
        <f t="shared" si="40"/>
        <v>5.0786899726013637</v>
      </c>
      <c r="AH49" s="76">
        <f t="shared" si="30"/>
        <v>31.484837416706636</v>
      </c>
      <c r="AI49" s="76">
        <f t="shared" si="31"/>
        <v>41.557711247678512</v>
      </c>
      <c r="AJ49" s="76">
        <f t="shared" si="32"/>
        <v>24.398239497541198</v>
      </c>
      <c r="AK49" s="76">
        <f t="shared" si="44"/>
        <v>45.315924486949591</v>
      </c>
      <c r="AL49" s="76">
        <f t="shared" si="33"/>
        <v>28.097615330378726</v>
      </c>
      <c r="AM49" s="76"/>
      <c r="AN49" s="76"/>
      <c r="AO49" s="76">
        <f t="shared" si="34"/>
        <v>2.8990124243389613E-2</v>
      </c>
      <c r="AP49" s="76">
        <f t="shared" si="35"/>
        <v>1.3247312516509112E-2</v>
      </c>
      <c r="AQ49" s="76">
        <f t="shared" si="41"/>
        <v>9.4142259414225944E-3</v>
      </c>
      <c r="AR49" s="76">
        <f t="shared" si="36"/>
        <v>1.6229375169055992E-2</v>
      </c>
      <c r="AS49" s="76">
        <f t="shared" si="37"/>
        <v>1.0645773979107311</v>
      </c>
      <c r="AT49" s="76">
        <f t="shared" si="38"/>
        <v>2.3377509811728571E-2</v>
      </c>
      <c r="AU49" s="76">
        <f t="shared" si="45"/>
        <v>1.3392857142857142E-2</v>
      </c>
      <c r="AV49" s="76">
        <f t="shared" si="39"/>
        <v>2.1369485294117647E-2</v>
      </c>
      <c r="AW49" s="76"/>
      <c r="AY49" s="97">
        <v>364</v>
      </c>
      <c r="AZ49" s="97">
        <v>1655</v>
      </c>
      <c r="BA49" s="97">
        <v>27</v>
      </c>
      <c r="BB49" s="97">
        <v>60</v>
      </c>
      <c r="BC49" s="97">
        <v>2242</v>
      </c>
      <c r="BD49" s="97">
        <v>411</v>
      </c>
      <c r="BE49" s="97">
        <v>75</v>
      </c>
      <c r="BF49" s="97">
        <v>93</v>
      </c>
      <c r="BG49" s="97"/>
      <c r="BI49" s="99">
        <v>12556</v>
      </c>
      <c r="BJ49" s="99">
        <v>124931</v>
      </c>
      <c r="BK49" s="99">
        <v>2868</v>
      </c>
      <c r="BL49" s="99">
        <v>3697</v>
      </c>
      <c r="BM49" s="99">
        <v>2106</v>
      </c>
      <c r="BN49" s="99">
        <v>17581</v>
      </c>
      <c r="BO49" s="99">
        <v>5600</v>
      </c>
      <c r="BP49" s="99">
        <v>4352</v>
      </c>
      <c r="BQ49" s="101"/>
    </row>
    <row r="50" spans="1:69">
      <c r="A50" s="4">
        <v>1850</v>
      </c>
      <c r="B50" s="95">
        <f t="shared" si="48"/>
        <v>49.131628609307519</v>
      </c>
      <c r="H50" s="51">
        <f t="shared" si="43"/>
        <v>40.589967516155781</v>
      </c>
      <c r="I50" s="51">
        <f t="shared" si="49"/>
        <v>42.096068379553849</v>
      </c>
      <c r="U50" s="76">
        <f t="shared" si="19"/>
        <v>0.115570419918246</v>
      </c>
      <c r="V50" s="76">
        <f t="shared" si="20"/>
        <v>0.29914529914529914</v>
      </c>
      <c r="W50" s="76">
        <f t="shared" si="21"/>
        <v>7.4321813452248231E-3</v>
      </c>
      <c r="X50" s="76">
        <f t="shared" si="22"/>
        <v>1.3006317354143442E-2</v>
      </c>
      <c r="Y50" s="76">
        <f t="shared" si="23"/>
        <v>0.4574507617985879</v>
      </c>
      <c r="Z50" s="76">
        <f t="shared" si="24"/>
        <v>7.3206986250464512E-2</v>
      </c>
      <c r="AA50" s="76">
        <f t="shared" si="25"/>
        <v>1.3006317354143442E-2</v>
      </c>
      <c r="AB50" s="76">
        <f t="shared" si="26"/>
        <v>2.1181716833890748E-2</v>
      </c>
      <c r="AC50" s="76">
        <f t="shared" si="27"/>
        <v>0</v>
      </c>
      <c r="AE50" s="76">
        <f t="shared" si="28"/>
        <v>17.799510980866831</v>
      </c>
      <c r="AF50" s="76">
        <f t="shared" si="29"/>
        <v>29.297239106168188</v>
      </c>
      <c r="AG50" s="76">
        <f t="shared" si="40"/>
        <v>10.154724421034045</v>
      </c>
      <c r="AH50" s="76">
        <f t="shared" si="30"/>
        <v>32.825562303881675</v>
      </c>
      <c r="AI50" s="76">
        <f t="shared" si="31"/>
        <v>66.144968514893407</v>
      </c>
      <c r="AJ50" s="76">
        <f t="shared" si="32"/>
        <v>27.750248308982904</v>
      </c>
      <c r="AK50" s="76">
        <f t="shared" si="44"/>
        <v>42.347797601488146</v>
      </c>
      <c r="AL50" s="76">
        <f t="shared" si="33"/>
        <v>29.402240175633153</v>
      </c>
      <c r="AM50" s="76"/>
      <c r="AN50" s="76"/>
      <c r="AO50" s="76">
        <f t="shared" si="34"/>
        <v>3.5955835597433379E-2</v>
      </c>
      <c r="AP50" s="76">
        <f t="shared" si="35"/>
        <v>1.3831021004252394E-2</v>
      </c>
      <c r="AQ50" s="76">
        <f t="shared" si="41"/>
        <v>1.8823529411764704E-2</v>
      </c>
      <c r="AR50" s="76">
        <f t="shared" si="36"/>
        <v>1.6920473773265651E-2</v>
      </c>
      <c r="AS50" s="76">
        <f t="shared" si="37"/>
        <v>1.6944253269098417</v>
      </c>
      <c r="AT50" s="76">
        <f t="shared" si="38"/>
        <v>2.658928330408962E-2</v>
      </c>
      <c r="AU50" s="76">
        <f t="shared" si="45"/>
        <v>1.2515644555694618E-2</v>
      </c>
      <c r="AV50" s="76">
        <f t="shared" si="39"/>
        <v>2.236171047469596E-2</v>
      </c>
      <c r="AW50" s="76"/>
      <c r="AY50" s="97">
        <v>622</v>
      </c>
      <c r="AZ50" s="97">
        <v>1610</v>
      </c>
      <c r="BA50" s="97">
        <v>40</v>
      </c>
      <c r="BB50" s="97">
        <v>70</v>
      </c>
      <c r="BC50" s="97">
        <v>2462</v>
      </c>
      <c r="BD50" s="97">
        <v>394</v>
      </c>
      <c r="BE50" s="97">
        <v>70</v>
      </c>
      <c r="BF50" s="97">
        <v>114</v>
      </c>
      <c r="BG50" s="97"/>
      <c r="BI50" s="99">
        <v>17299</v>
      </c>
      <c r="BJ50" s="99">
        <v>116405</v>
      </c>
      <c r="BK50" s="99">
        <v>2125</v>
      </c>
      <c r="BL50" s="99">
        <v>4137</v>
      </c>
      <c r="BM50" s="99">
        <v>1453</v>
      </c>
      <c r="BN50" s="99">
        <v>14818</v>
      </c>
      <c r="BO50" s="99">
        <v>5593</v>
      </c>
      <c r="BP50" s="99">
        <v>5098</v>
      </c>
      <c r="BQ50" s="101"/>
    </row>
    <row r="51" spans="1:69">
      <c r="A51" s="4">
        <v>1851</v>
      </c>
      <c r="B51" s="95">
        <f t="shared" ref="B51:B60" si="50">(GEOMEAN(I51:J51)/GEOMEAN(I$61:J$61))*B$61</f>
        <v>51.082424312750774</v>
      </c>
      <c r="H51" s="51">
        <f t="shared" si="43"/>
        <v>42.041098123198623</v>
      </c>
      <c r="I51" s="51">
        <f t="shared" si="49"/>
        <v>43.93461938159065</v>
      </c>
      <c r="J51" s="51">
        <f t="shared" ref="J51:J71" si="51">(AF51^V$9)*(AH51^X$9)*(AI51^Y$9)*(AJ51^Z$9)*(AL51^AB$9)*(AG51^W$9)*(AK51^AA$9)*(AE51^U$9)</f>
        <v>50.651371352327153</v>
      </c>
      <c r="U51" s="76">
        <f t="shared" si="19"/>
        <v>9.1115564462257853E-2</v>
      </c>
      <c r="V51" s="76">
        <f t="shared" si="20"/>
        <v>0.25250501002004005</v>
      </c>
      <c r="W51" s="76">
        <f t="shared" si="21"/>
        <v>1.6700066800267203E-2</v>
      </c>
      <c r="X51" s="76">
        <f t="shared" si="22"/>
        <v>9.3520374081496327E-3</v>
      </c>
      <c r="Y51" s="76">
        <f t="shared" si="23"/>
        <v>0.52184368737474951</v>
      </c>
      <c r="Z51" s="76">
        <f t="shared" si="24"/>
        <v>7.2144288577154311E-2</v>
      </c>
      <c r="AA51" s="76">
        <f t="shared" si="25"/>
        <v>9.084836339345358E-3</v>
      </c>
      <c r="AB51" s="76">
        <f t="shared" si="26"/>
        <v>2.7254509018036072E-2</v>
      </c>
      <c r="AC51" s="76">
        <f t="shared" si="27"/>
        <v>0</v>
      </c>
      <c r="AE51" s="76">
        <f t="shared" si="28"/>
        <v>25.843235650210588</v>
      </c>
      <c r="AF51" s="76">
        <f t="shared" si="29"/>
        <v>30.391550964197812</v>
      </c>
      <c r="AG51" s="76">
        <f t="shared" si="40"/>
        <v>41.018075947949647</v>
      </c>
      <c r="AH51" s="76">
        <f t="shared" si="30"/>
        <v>35.272558766534672</v>
      </c>
      <c r="AI51" s="76">
        <f t="shared" si="31"/>
        <v>61.359275869491405</v>
      </c>
      <c r="AJ51" s="76">
        <f t="shared" si="32"/>
        <v>30.879292185221296</v>
      </c>
      <c r="AK51" s="76">
        <f t="shared" si="44"/>
        <v>45.132219287643274</v>
      </c>
      <c r="AL51" s="76">
        <f t="shared" si="33"/>
        <v>37.228160956374197</v>
      </c>
      <c r="AM51" s="76"/>
      <c r="AN51" s="76"/>
      <c r="AO51" s="76">
        <f t="shared" si="34"/>
        <v>5.2204531537048376E-2</v>
      </c>
      <c r="AP51" s="76">
        <f t="shared" si="35"/>
        <v>1.4347637953677626E-2</v>
      </c>
      <c r="AQ51" s="76">
        <f t="shared" si="41"/>
        <v>7.6034063260340637E-2</v>
      </c>
      <c r="AR51" s="76">
        <f t="shared" si="36"/>
        <v>1.8181818181818181E-2</v>
      </c>
      <c r="AS51" s="76">
        <f t="shared" si="37"/>
        <v>1.5718309859154929</v>
      </c>
      <c r="AT51" s="76">
        <f t="shared" si="38"/>
        <v>2.9587419867404527E-2</v>
      </c>
      <c r="AU51" s="76">
        <f t="shared" si="45"/>
        <v>1.3338564142801098E-2</v>
      </c>
      <c r="AV51" s="76">
        <f t="shared" si="39"/>
        <v>2.8313671061762666E-2</v>
      </c>
      <c r="AW51" s="76"/>
      <c r="AY51" s="97">
        <v>682</v>
      </c>
      <c r="AZ51" s="97">
        <v>1890</v>
      </c>
      <c r="BA51" s="97">
        <v>125</v>
      </c>
      <c r="BB51" s="97">
        <v>70</v>
      </c>
      <c r="BC51" s="97">
        <v>3906</v>
      </c>
      <c r="BD51" s="97">
        <v>540</v>
      </c>
      <c r="BE51" s="97">
        <v>68</v>
      </c>
      <c r="BF51" s="97">
        <v>204</v>
      </c>
      <c r="BG51" s="97"/>
      <c r="BI51" s="99">
        <v>13064</v>
      </c>
      <c r="BJ51" s="99">
        <v>131729</v>
      </c>
      <c r="BK51" s="99">
        <v>1644</v>
      </c>
      <c r="BL51" s="99">
        <v>3850</v>
      </c>
      <c r="BM51" s="99">
        <v>2485</v>
      </c>
      <c r="BN51" s="99">
        <v>18251</v>
      </c>
      <c r="BO51" s="99">
        <v>5098</v>
      </c>
      <c r="BP51" s="99">
        <v>7205</v>
      </c>
      <c r="BQ51" s="101"/>
    </row>
    <row r="52" spans="1:69">
      <c r="A52" s="4">
        <v>1852</v>
      </c>
      <c r="B52" s="95">
        <f t="shared" si="50"/>
        <v>53.429213662482269</v>
      </c>
      <c r="I52" s="51">
        <f t="shared" si="49"/>
        <v>45.36705204373834</v>
      </c>
      <c r="J52" s="51">
        <f t="shared" si="51"/>
        <v>53.662645802217455</v>
      </c>
      <c r="U52" s="76">
        <f t="shared" si="19"/>
        <v>7.2222222222222215E-2</v>
      </c>
      <c r="V52" s="76">
        <f t="shared" si="20"/>
        <v>0.22750000000000001</v>
      </c>
      <c r="W52" s="76">
        <f t="shared" si="21"/>
        <v>1.4583333333333334E-2</v>
      </c>
      <c r="X52" s="76">
        <f t="shared" si="22"/>
        <v>9.3055555555555548E-3</v>
      </c>
      <c r="Y52" s="76">
        <f t="shared" si="23"/>
        <v>0.55513888888888885</v>
      </c>
      <c r="Z52" s="76">
        <f t="shared" si="24"/>
        <v>7.5972222222222219E-2</v>
      </c>
      <c r="AA52" s="76">
        <f t="shared" si="25"/>
        <v>1.4999999999999999E-2</v>
      </c>
      <c r="AB52" s="76">
        <f t="shared" si="26"/>
        <v>3.0277777777777778E-2</v>
      </c>
      <c r="AC52" s="76">
        <f t="shared" si="27"/>
        <v>0</v>
      </c>
      <c r="AE52" s="76">
        <f t="shared" si="28"/>
        <v>19.379646715971113</v>
      </c>
      <c r="AF52" s="76">
        <f t="shared" si="29"/>
        <v>31.313449586968328</v>
      </c>
      <c r="AG52" s="76">
        <f t="shared" si="40"/>
        <v>35.270437211133583</v>
      </c>
      <c r="AH52" s="76">
        <f t="shared" si="30"/>
        <v>30.425884610177967</v>
      </c>
      <c r="AI52" s="76">
        <f t="shared" si="31"/>
        <v>66.765147936404702</v>
      </c>
      <c r="AJ52" s="76">
        <f t="shared" si="32"/>
        <v>36.35506603301129</v>
      </c>
      <c r="AK52" s="76">
        <f t="shared" si="44"/>
        <v>49.962758417112589</v>
      </c>
      <c r="AL52" s="76">
        <f t="shared" si="33"/>
        <v>34.472250794434451</v>
      </c>
      <c r="AM52" s="76"/>
      <c r="AN52" s="76"/>
      <c r="AO52" s="76">
        <f t="shared" si="34"/>
        <v>3.9147782880373412E-2</v>
      </c>
      <c r="AP52" s="76">
        <f t="shared" si="35"/>
        <v>1.4782859824555071E-2</v>
      </c>
      <c r="AQ52" s="76">
        <f t="shared" si="41"/>
        <v>6.5379825653798254E-2</v>
      </c>
      <c r="AR52" s="76">
        <f t="shared" si="36"/>
        <v>1.5683520599250936E-2</v>
      </c>
      <c r="AS52" s="76">
        <f t="shared" si="37"/>
        <v>1.7103123662815576</v>
      </c>
      <c r="AT52" s="76">
        <f t="shared" si="38"/>
        <v>3.4834108132204035E-2</v>
      </c>
      <c r="AU52" s="76">
        <f t="shared" si="45"/>
        <v>1.4766201804757998E-2</v>
      </c>
      <c r="AV52" s="76">
        <f t="shared" si="39"/>
        <v>2.6217678893565844E-2</v>
      </c>
      <c r="AW52" s="76"/>
      <c r="AY52" s="97">
        <v>520</v>
      </c>
      <c r="AZ52" s="97">
        <v>1638</v>
      </c>
      <c r="BA52" s="97">
        <v>105</v>
      </c>
      <c r="BB52" s="97">
        <v>67</v>
      </c>
      <c r="BC52" s="97">
        <v>3997</v>
      </c>
      <c r="BD52" s="97">
        <v>547</v>
      </c>
      <c r="BE52" s="97">
        <v>108</v>
      </c>
      <c r="BF52" s="97">
        <v>218</v>
      </c>
      <c r="BG52" s="97"/>
      <c r="BI52" s="99">
        <v>13283</v>
      </c>
      <c r="BJ52" s="99">
        <v>110804</v>
      </c>
      <c r="BK52" s="99">
        <v>1606</v>
      </c>
      <c r="BL52" s="99">
        <v>4272</v>
      </c>
      <c r="BM52" s="99">
        <v>2337</v>
      </c>
      <c r="BN52" s="99">
        <v>15703</v>
      </c>
      <c r="BO52" s="99">
        <v>7314</v>
      </c>
      <c r="BP52" s="99">
        <v>8315</v>
      </c>
      <c r="BQ52" s="101"/>
    </row>
    <row r="53" spans="1:69">
      <c r="A53" s="4">
        <v>1853</v>
      </c>
      <c r="B53" s="95">
        <f t="shared" si="50"/>
        <v>50.162500468615178</v>
      </c>
      <c r="I53" s="51">
        <f t="shared" si="49"/>
        <v>42.423681721091121</v>
      </c>
      <c r="J53" s="51">
        <f t="shared" si="51"/>
        <v>50.583057146510107</v>
      </c>
      <c r="U53" s="76">
        <f t="shared" ref="U53:U84" si="52">AY53/SUM($AY53:$BF53)</f>
        <v>7.749667110519308E-2</v>
      </c>
      <c r="V53" s="76">
        <f t="shared" ref="V53:V84" si="53">AZ53/SUM($AY53:$BF53)</f>
        <v>0.27749667110519305</v>
      </c>
      <c r="W53" s="76">
        <f t="shared" ref="W53:W84" si="54">BA53/SUM($AY53:$BF53)</f>
        <v>2.1438082556591211E-2</v>
      </c>
      <c r="X53" s="76">
        <f t="shared" ref="X53:X84" si="55">BB53/SUM($AY53:$BF53)</f>
        <v>7.4567243675099865E-3</v>
      </c>
      <c r="Y53" s="76">
        <f t="shared" ref="Y53:Y84" si="56">BC53/SUM($AY53:$BF53)</f>
        <v>0.51584553928095878</v>
      </c>
      <c r="Z53" s="76">
        <f t="shared" ref="Z53:Z84" si="57">BD53/SUM($AY53:$BF53)</f>
        <v>7.4034620505992008E-2</v>
      </c>
      <c r="AA53" s="76">
        <f t="shared" ref="AA53:AA84" si="58">BE53/SUM($AY53:$BF53)</f>
        <v>8.3888149134487347E-3</v>
      </c>
      <c r="AB53" s="76">
        <f t="shared" ref="AB53:AB84" si="59">BF53/SUM($AY53:$BF53)</f>
        <v>1.7842876165113184E-2</v>
      </c>
      <c r="AC53" s="76">
        <f t="shared" ref="AC53:AC84" si="60">BG53/SUM($AY53:$BF53)</f>
        <v>0</v>
      </c>
      <c r="AE53" s="76">
        <f t="shared" ref="AE53:AE84" si="61">(AO53/AO$118)*100</f>
        <v>19.523765923999324</v>
      </c>
      <c r="AF53" s="76">
        <f t="shared" ref="AF53:AF84" si="62">(AP53/AP$118)*100</f>
        <v>27.946925805707938</v>
      </c>
      <c r="AG53" s="76">
        <f t="shared" si="40"/>
        <v>50.49687634514931</v>
      </c>
      <c r="AH53" s="76">
        <f t="shared" ref="AH53:AH84" si="63">(AR53/AR$118)*100</f>
        <v>32.160888395774656</v>
      </c>
      <c r="AI53" s="76">
        <f t="shared" ref="AI53:AI84" si="64">(AS53/AS$118)*100</f>
        <v>62.234001006707864</v>
      </c>
      <c r="AJ53" s="76">
        <f t="shared" ref="AJ53:AJ84" si="65">(AT53/AT$118)*100</f>
        <v>34.749180666162694</v>
      </c>
      <c r="AK53" s="76">
        <f t="shared" si="44"/>
        <v>44.990736341623233</v>
      </c>
      <c r="AL53" s="76">
        <f t="shared" ref="AL53:AL84" si="66">(AV53/AV$118)*100</f>
        <v>29.05500847055476</v>
      </c>
      <c r="AM53" s="76"/>
      <c r="AN53" s="76"/>
      <c r="AO53" s="76">
        <f t="shared" ref="AO53:AO84" si="67">AY53/BI53</f>
        <v>3.9438910347631632E-2</v>
      </c>
      <c r="AP53" s="76">
        <f t="shared" ref="AP53:AP84" si="68">AZ53/BJ53</f>
        <v>1.3193547570209425E-2</v>
      </c>
      <c r="AQ53" s="76">
        <f t="shared" si="41"/>
        <v>9.3604651162790695E-2</v>
      </c>
      <c r="AR53" s="76">
        <f t="shared" ref="AR53:AR84" si="69">BB53/BL53</f>
        <v>1.6577856719952634E-2</v>
      </c>
      <c r="AS53" s="76">
        <f t="shared" ref="AS53:AS84" si="70">BC53/BM53</f>
        <v>1.5942386831275721</v>
      </c>
      <c r="AT53" s="76">
        <f t="shared" ref="AT53:AT84" si="71">BD53/BN53</f>
        <v>3.3295406910593447E-2</v>
      </c>
      <c r="AU53" s="76">
        <f t="shared" si="45"/>
        <v>1.3296749683410722E-2</v>
      </c>
      <c r="AV53" s="76">
        <f t="shared" ref="AV53:AV84" si="72">BF53/BP53</f>
        <v>2.2097625329815303E-2</v>
      </c>
      <c r="AW53" s="76"/>
      <c r="AY53" s="97">
        <v>582</v>
      </c>
      <c r="AZ53" s="97">
        <v>2084</v>
      </c>
      <c r="BA53" s="97">
        <v>161</v>
      </c>
      <c r="BB53" s="97">
        <v>56</v>
      </c>
      <c r="BC53" s="97">
        <v>3874</v>
      </c>
      <c r="BD53" s="97">
        <v>556</v>
      </c>
      <c r="BE53" s="97">
        <v>63</v>
      </c>
      <c r="BF53" s="97">
        <v>134</v>
      </c>
      <c r="BG53" s="97"/>
      <c r="BI53" s="99">
        <v>14757</v>
      </c>
      <c r="BJ53" s="99">
        <v>157956</v>
      </c>
      <c r="BK53" s="99">
        <v>1720</v>
      </c>
      <c r="BL53" s="99">
        <v>3378</v>
      </c>
      <c r="BM53" s="99">
        <v>2430</v>
      </c>
      <c r="BN53" s="99">
        <v>16699</v>
      </c>
      <c r="BO53" s="99">
        <v>4738</v>
      </c>
      <c r="BP53" s="99">
        <v>6064</v>
      </c>
      <c r="BQ53" s="101"/>
    </row>
    <row r="54" spans="1:69">
      <c r="A54" s="4">
        <v>1854</v>
      </c>
      <c r="B54" s="95">
        <f t="shared" si="50"/>
        <v>61.390536848190884</v>
      </c>
      <c r="I54" s="51">
        <f t="shared" si="49"/>
        <v>51.593438929744202</v>
      </c>
      <c r="J54" s="51">
        <f t="shared" si="51"/>
        <v>62.296473403750589</v>
      </c>
      <c r="U54" s="76">
        <f t="shared" si="52"/>
        <v>7.0508144906394357E-2</v>
      </c>
      <c r="V54" s="76">
        <f t="shared" si="53"/>
        <v>0.22842207634330172</v>
      </c>
      <c r="W54" s="76">
        <f t="shared" si="54"/>
        <v>5.1543885241915874E-2</v>
      </c>
      <c r="X54" s="76">
        <f t="shared" si="55"/>
        <v>1.1305616338439095E-2</v>
      </c>
      <c r="Y54" s="76">
        <f t="shared" si="56"/>
        <v>0.51142718210551907</v>
      </c>
      <c r="Z54" s="76">
        <f t="shared" si="57"/>
        <v>8.4245076586433265E-2</v>
      </c>
      <c r="AA54" s="76">
        <f t="shared" si="58"/>
        <v>1.2278142475079018E-2</v>
      </c>
      <c r="AB54" s="76">
        <f t="shared" si="59"/>
        <v>3.0269876002917577E-2</v>
      </c>
      <c r="AC54" s="76">
        <f t="shared" si="60"/>
        <v>0</v>
      </c>
      <c r="AE54" s="76">
        <f t="shared" si="61"/>
        <v>21.86098198603473</v>
      </c>
      <c r="AF54" s="76">
        <f t="shared" si="62"/>
        <v>33.576414057421403</v>
      </c>
      <c r="AG54" s="76">
        <f t="shared" si="40"/>
        <v>90.373436421885373</v>
      </c>
      <c r="AH54" s="76">
        <f t="shared" si="63"/>
        <v>38.833219563242537</v>
      </c>
      <c r="AI54" s="76">
        <f t="shared" si="64"/>
        <v>77.102291990128549</v>
      </c>
      <c r="AJ54" s="76">
        <f t="shared" si="65"/>
        <v>40.845901854991887</v>
      </c>
      <c r="AK54" s="76">
        <f t="shared" si="44"/>
        <v>49.263729546525759</v>
      </c>
      <c r="AL54" s="76">
        <f t="shared" si="66"/>
        <v>32.772476409241762</v>
      </c>
      <c r="AM54" s="76"/>
      <c r="AN54" s="76"/>
      <c r="AO54" s="76">
        <f t="shared" si="67"/>
        <v>4.4160194913963759E-2</v>
      </c>
      <c r="AP54" s="76">
        <f t="shared" si="68"/>
        <v>1.5851189471908216E-2</v>
      </c>
      <c r="AQ54" s="76">
        <f t="shared" si="41"/>
        <v>0.16752271829316476</v>
      </c>
      <c r="AR54" s="76">
        <f t="shared" si="69"/>
        <v>2.0017219113215669E-2</v>
      </c>
      <c r="AS54" s="76">
        <f t="shared" si="70"/>
        <v>1.9751173708920189</v>
      </c>
      <c r="AT54" s="76">
        <f t="shared" si="71"/>
        <v>3.9137064437792961E-2</v>
      </c>
      <c r="AU54" s="76">
        <f t="shared" si="45"/>
        <v>1.4559607899668444E-2</v>
      </c>
      <c r="AV54" s="76">
        <f t="shared" si="72"/>
        <v>2.4924924924924926E-2</v>
      </c>
      <c r="AW54" s="76"/>
      <c r="AY54" s="97">
        <v>580</v>
      </c>
      <c r="AZ54" s="97">
        <v>1879</v>
      </c>
      <c r="BA54" s="97">
        <v>424</v>
      </c>
      <c r="BB54" s="97">
        <v>93</v>
      </c>
      <c r="BC54" s="97">
        <v>4207</v>
      </c>
      <c r="BD54" s="97">
        <v>693</v>
      </c>
      <c r="BE54" s="97">
        <v>101</v>
      </c>
      <c r="BF54" s="97">
        <v>249</v>
      </c>
      <c r="BG54" s="97"/>
      <c r="BI54" s="99">
        <v>13134</v>
      </c>
      <c r="BJ54" s="99">
        <v>118540</v>
      </c>
      <c r="BK54" s="99">
        <v>2531</v>
      </c>
      <c r="BL54" s="99">
        <v>4646</v>
      </c>
      <c r="BM54" s="99">
        <v>2130</v>
      </c>
      <c r="BN54" s="99">
        <v>17707</v>
      </c>
      <c r="BO54" s="99">
        <v>6937</v>
      </c>
      <c r="BP54" s="99">
        <v>9990</v>
      </c>
      <c r="BQ54" s="101"/>
    </row>
    <row r="55" spans="1:69">
      <c r="A55" s="4">
        <v>1855</v>
      </c>
      <c r="B55" s="95">
        <f t="shared" si="50"/>
        <v>56.719934012568288</v>
      </c>
      <c r="I55" s="51">
        <f t="shared" si="49"/>
        <v>48.196423625265098</v>
      </c>
      <c r="J55" s="51">
        <f t="shared" si="51"/>
        <v>56.926134804720178</v>
      </c>
      <c r="U55" s="76">
        <f t="shared" si="52"/>
        <v>5.724907063197026E-2</v>
      </c>
      <c r="V55" s="76">
        <f t="shared" si="53"/>
        <v>0.20392989909718534</v>
      </c>
      <c r="W55" s="76">
        <f t="shared" si="54"/>
        <v>3.4625597450876261E-2</v>
      </c>
      <c r="X55" s="76">
        <f t="shared" si="55"/>
        <v>5.0982474774296333E-3</v>
      </c>
      <c r="Y55" s="76">
        <f t="shared" si="56"/>
        <v>0.59277748274030806</v>
      </c>
      <c r="Z55" s="76">
        <f t="shared" si="57"/>
        <v>7.1056824216675515E-2</v>
      </c>
      <c r="AA55" s="76">
        <f t="shared" si="58"/>
        <v>1.051513542219862E-2</v>
      </c>
      <c r="AB55" s="76">
        <f t="shared" si="59"/>
        <v>2.4747742963356346E-2</v>
      </c>
      <c r="AC55" s="76">
        <f t="shared" si="60"/>
        <v>0</v>
      </c>
      <c r="AE55" s="76">
        <f t="shared" si="61"/>
        <v>20.709839531130392</v>
      </c>
      <c r="AF55" s="76">
        <f t="shared" si="62"/>
        <v>33.79559269414969</v>
      </c>
      <c r="AG55" s="76">
        <f t="shared" si="40"/>
        <v>70.914166760799745</v>
      </c>
      <c r="AH55" s="76">
        <f t="shared" si="63"/>
        <v>42.951824328252556</v>
      </c>
      <c r="AI55" s="76">
        <f t="shared" si="64"/>
        <v>68.296070894040071</v>
      </c>
      <c r="AJ55" s="76">
        <f t="shared" si="65"/>
        <v>40.943556836842546</v>
      </c>
      <c r="AK55" s="76">
        <f t="shared" si="44"/>
        <v>56.081586105396177</v>
      </c>
      <c r="AL55" s="76">
        <f t="shared" si="66"/>
        <v>33.041358775698029</v>
      </c>
      <c r="AM55" s="76"/>
      <c r="AN55" s="76"/>
      <c r="AO55" s="76">
        <f t="shared" si="67"/>
        <v>4.1834833902514745E-2</v>
      </c>
      <c r="AP55" s="76">
        <f t="shared" si="68"/>
        <v>1.5954662168338306E-2</v>
      </c>
      <c r="AQ55" s="76">
        <f t="shared" si="41"/>
        <v>0.1314516129032258</v>
      </c>
      <c r="AR55" s="76">
        <f t="shared" si="69"/>
        <v>2.2140221402214021E-2</v>
      </c>
      <c r="AS55" s="76">
        <f t="shared" si="70"/>
        <v>1.7495297805642633</v>
      </c>
      <c r="AT55" s="76">
        <f t="shared" si="71"/>
        <v>3.9230633906057584E-2</v>
      </c>
      <c r="AU55" s="76">
        <f t="shared" si="45"/>
        <v>1.6574585635359115E-2</v>
      </c>
      <c r="AV55" s="76">
        <f t="shared" si="72"/>
        <v>2.5129421915444348E-2</v>
      </c>
      <c r="AW55" s="76"/>
      <c r="AY55" s="97">
        <v>539</v>
      </c>
      <c r="AZ55" s="97">
        <v>1920</v>
      </c>
      <c r="BA55" s="97">
        <v>326</v>
      </c>
      <c r="BB55" s="97">
        <v>48</v>
      </c>
      <c r="BC55" s="97">
        <v>5581</v>
      </c>
      <c r="BD55" s="97">
        <v>669</v>
      </c>
      <c r="BE55" s="97">
        <v>99</v>
      </c>
      <c r="BF55" s="97">
        <v>233</v>
      </c>
      <c r="BG55" s="97"/>
      <c r="BI55" s="99">
        <v>12884</v>
      </c>
      <c r="BJ55" s="99">
        <v>120341</v>
      </c>
      <c r="BK55" s="99">
        <v>2480</v>
      </c>
      <c r="BL55" s="99">
        <v>2168</v>
      </c>
      <c r="BM55" s="99">
        <v>3190</v>
      </c>
      <c r="BN55" s="99">
        <v>17053</v>
      </c>
      <c r="BO55" s="99">
        <v>5973</v>
      </c>
      <c r="BP55" s="99">
        <v>9272</v>
      </c>
      <c r="BQ55" s="101"/>
    </row>
    <row r="56" spans="1:69">
      <c r="A56" s="4">
        <v>1856</v>
      </c>
      <c r="B56" s="95">
        <f t="shared" si="50"/>
        <v>64.172577424478433</v>
      </c>
      <c r="I56" s="51">
        <f t="shared" si="49"/>
        <v>54.921404779908983</v>
      </c>
      <c r="J56" s="51">
        <f t="shared" si="51"/>
        <v>63.945855830049055</v>
      </c>
      <c r="U56" s="76">
        <f t="shared" si="52"/>
        <v>6.5752032520325202E-2</v>
      </c>
      <c r="V56" s="76">
        <f t="shared" si="53"/>
        <v>0.22063008130081302</v>
      </c>
      <c r="W56" s="76">
        <f t="shared" si="54"/>
        <v>2.6626016260162602E-2</v>
      </c>
      <c r="X56" s="76">
        <f t="shared" si="55"/>
        <v>7.2154471544715448E-3</v>
      </c>
      <c r="Y56" s="76">
        <f t="shared" si="56"/>
        <v>0.56016260162601628</v>
      </c>
      <c r="Z56" s="76">
        <f t="shared" si="57"/>
        <v>7.4695121951219509E-2</v>
      </c>
      <c r="AA56" s="76">
        <f t="shared" si="58"/>
        <v>2.0731707317073172E-2</v>
      </c>
      <c r="AB56" s="76">
        <f t="shared" si="59"/>
        <v>2.4186991869918698E-2</v>
      </c>
      <c r="AC56" s="76">
        <f t="shared" si="60"/>
        <v>0</v>
      </c>
      <c r="AE56" s="76">
        <f t="shared" si="61"/>
        <v>21.278879528068597</v>
      </c>
      <c r="AF56" s="76">
        <f t="shared" si="62"/>
        <v>42.033456812335643</v>
      </c>
      <c r="AG56" s="76">
        <f t="shared" si="40"/>
        <v>62.046124027773317</v>
      </c>
      <c r="AH56" s="76">
        <f t="shared" si="63"/>
        <v>57.082197257902159</v>
      </c>
      <c r="AI56" s="76">
        <f t="shared" si="64"/>
        <v>75.419181877584691</v>
      </c>
      <c r="AJ56" s="76">
        <f t="shared" si="65"/>
        <v>47.026252183040469</v>
      </c>
      <c r="AK56" s="76">
        <f t="shared" si="44"/>
        <v>100.97310734131308</v>
      </c>
      <c r="AL56" s="76">
        <f t="shared" si="66"/>
        <v>40.477779886921326</v>
      </c>
      <c r="AM56" s="76"/>
      <c r="AN56" s="76"/>
      <c r="AO56" s="76">
        <f t="shared" si="67"/>
        <v>4.2984321020462395E-2</v>
      </c>
      <c r="AP56" s="76">
        <f t="shared" si="68"/>
        <v>1.9843700013710525E-2</v>
      </c>
      <c r="AQ56" s="76">
        <f t="shared" si="41"/>
        <v>0.11501316944688324</v>
      </c>
      <c r="AR56" s="76">
        <f t="shared" si="69"/>
        <v>2.9423953584749276E-2</v>
      </c>
      <c r="AS56" s="76">
        <f t="shared" si="70"/>
        <v>1.9320014020329477</v>
      </c>
      <c r="AT56" s="76">
        <f t="shared" si="71"/>
        <v>4.5058852378616968E-2</v>
      </c>
      <c r="AU56" s="76">
        <f t="shared" si="45"/>
        <v>2.984201287302516E-2</v>
      </c>
      <c r="AV56" s="76">
        <f t="shared" si="72"/>
        <v>3.0785150692019144E-2</v>
      </c>
      <c r="AW56" s="76"/>
      <c r="AY56" s="97">
        <v>647</v>
      </c>
      <c r="AZ56" s="97">
        <v>2171</v>
      </c>
      <c r="BA56" s="97">
        <v>262</v>
      </c>
      <c r="BB56" s="97">
        <v>71</v>
      </c>
      <c r="BC56" s="97">
        <v>5512</v>
      </c>
      <c r="BD56" s="97">
        <v>735</v>
      </c>
      <c r="BE56" s="97">
        <v>204</v>
      </c>
      <c r="BF56" s="97">
        <v>238</v>
      </c>
      <c r="BG56" s="97"/>
      <c r="BI56" s="99">
        <v>15052</v>
      </c>
      <c r="BJ56" s="99">
        <v>109405</v>
      </c>
      <c r="BK56" s="99">
        <v>2278</v>
      </c>
      <c r="BL56" s="99">
        <v>2413</v>
      </c>
      <c r="BM56" s="99">
        <v>2853</v>
      </c>
      <c r="BN56" s="99">
        <v>16312</v>
      </c>
      <c r="BO56" s="99">
        <v>6836</v>
      </c>
      <c r="BP56" s="99">
        <v>7731</v>
      </c>
      <c r="BQ56" s="101"/>
    </row>
    <row r="57" spans="1:69">
      <c r="A57" s="4">
        <v>1857</v>
      </c>
      <c r="B57" s="95">
        <f t="shared" si="50"/>
        <v>70.354464222569192</v>
      </c>
      <c r="I57" s="51">
        <f t="shared" si="49"/>
        <v>61.81950679567084</v>
      </c>
      <c r="J57" s="51">
        <f t="shared" si="51"/>
        <v>68.283041944170208</v>
      </c>
      <c r="U57" s="76">
        <f t="shared" si="52"/>
        <v>6.618800033011471E-2</v>
      </c>
      <c r="V57" s="76">
        <f t="shared" si="53"/>
        <v>0.2448625897499381</v>
      </c>
      <c r="W57" s="76">
        <f t="shared" si="54"/>
        <v>1.5102748205001237E-2</v>
      </c>
      <c r="X57" s="76">
        <f t="shared" si="55"/>
        <v>1.3947346702979285E-2</v>
      </c>
      <c r="Y57" s="76">
        <f t="shared" si="56"/>
        <v>0.5125856235041677</v>
      </c>
      <c r="Z57" s="76">
        <f t="shared" si="57"/>
        <v>8.9708673764133037E-2</v>
      </c>
      <c r="AA57" s="76">
        <f t="shared" si="58"/>
        <v>2.500618965090369E-2</v>
      </c>
      <c r="AB57" s="76">
        <f t="shared" si="59"/>
        <v>3.2598828092762232E-2</v>
      </c>
      <c r="AC57" s="76">
        <f t="shared" si="60"/>
        <v>0</v>
      </c>
      <c r="AE57" s="76">
        <f t="shared" si="61"/>
        <v>24.843289574308425</v>
      </c>
      <c r="AF57" s="76">
        <f t="shared" si="62"/>
        <v>55.783876344471373</v>
      </c>
      <c r="AG57" s="76">
        <f t="shared" si="40"/>
        <v>32.230806882383398</v>
      </c>
      <c r="AH57" s="76">
        <f t="shared" si="63"/>
        <v>92.825151114082615</v>
      </c>
      <c r="AI57" s="76">
        <f t="shared" si="64"/>
        <v>76.029369641510158</v>
      </c>
      <c r="AJ57" s="76">
        <f t="shared" si="65"/>
        <v>63.938542726080719</v>
      </c>
      <c r="AK57" s="76">
        <f t="shared" si="44"/>
        <v>134.82739026732608</v>
      </c>
      <c r="AL57" s="76">
        <f t="shared" si="66"/>
        <v>58.711822435429475</v>
      </c>
      <c r="AM57" s="76"/>
      <c r="AN57" s="76"/>
      <c r="AO57" s="76">
        <f t="shared" si="67"/>
        <v>5.0184594205619174E-2</v>
      </c>
      <c r="AP57" s="76">
        <f t="shared" si="68"/>
        <v>2.6335176588587202E-2</v>
      </c>
      <c r="AQ57" s="76">
        <f t="shared" si="41"/>
        <v>5.9745347698334964E-2</v>
      </c>
      <c r="AR57" s="76">
        <f t="shared" si="69"/>
        <v>4.7848244620611553E-2</v>
      </c>
      <c r="AS57" s="76">
        <f t="shared" si="70"/>
        <v>1.9476324866729382</v>
      </c>
      <c r="AT57" s="76">
        <f t="shared" si="71"/>
        <v>6.1263596911458038E-2</v>
      </c>
      <c r="AU57" s="76">
        <f t="shared" si="45"/>
        <v>3.9847448711204631E-2</v>
      </c>
      <c r="AV57" s="76">
        <f t="shared" si="72"/>
        <v>4.4652950486095411E-2</v>
      </c>
      <c r="AW57" s="76"/>
      <c r="AY57" s="97">
        <v>802</v>
      </c>
      <c r="AZ57" s="97">
        <v>2967</v>
      </c>
      <c r="BA57" s="97">
        <v>183</v>
      </c>
      <c r="BB57" s="97">
        <v>169</v>
      </c>
      <c r="BC57" s="97">
        <v>6211</v>
      </c>
      <c r="BD57" s="97">
        <v>1087</v>
      </c>
      <c r="BE57" s="97">
        <v>303</v>
      </c>
      <c r="BF57" s="97">
        <v>395</v>
      </c>
      <c r="BG57" s="97"/>
      <c r="BI57" s="99">
        <v>15981</v>
      </c>
      <c r="BJ57" s="99">
        <v>112663</v>
      </c>
      <c r="BK57" s="99">
        <v>3063</v>
      </c>
      <c r="BL57" s="99">
        <v>3532</v>
      </c>
      <c r="BM57" s="99">
        <v>3189</v>
      </c>
      <c r="BN57" s="99">
        <v>17743</v>
      </c>
      <c r="BO57" s="99">
        <v>7604</v>
      </c>
      <c r="BP57" s="99">
        <v>8846</v>
      </c>
      <c r="BQ57" s="101"/>
    </row>
    <row r="58" spans="1:69">
      <c r="A58" s="4">
        <v>1858</v>
      </c>
      <c r="B58" s="95">
        <f t="shared" si="50"/>
        <v>69.932165689218635</v>
      </c>
      <c r="I58" s="51">
        <f t="shared" si="49"/>
        <v>60.875811138557395</v>
      </c>
      <c r="J58" s="51">
        <f t="shared" si="51"/>
        <v>68.511625356349185</v>
      </c>
      <c r="U58" s="76">
        <f t="shared" si="52"/>
        <v>7.6247546234115088E-2</v>
      </c>
      <c r="V58" s="76">
        <f t="shared" si="53"/>
        <v>0.26015084202913524</v>
      </c>
      <c r="W58" s="76">
        <f t="shared" si="54"/>
        <v>1.4257671247029651E-2</v>
      </c>
      <c r="X58" s="76">
        <f t="shared" si="55"/>
        <v>1.901022832937287E-2</v>
      </c>
      <c r="Y58" s="76">
        <f t="shared" si="56"/>
        <v>0.49839859489616695</v>
      </c>
      <c r="Z58" s="76">
        <f t="shared" si="57"/>
        <v>8.1000103316458308E-2</v>
      </c>
      <c r="AA58" s="76">
        <f t="shared" si="58"/>
        <v>2.3762785411716086E-2</v>
      </c>
      <c r="AB58" s="76">
        <f t="shared" si="59"/>
        <v>2.7172228536005785E-2</v>
      </c>
      <c r="AC58" s="76">
        <f t="shared" si="60"/>
        <v>0</v>
      </c>
      <c r="AE58" s="76">
        <f t="shared" si="61"/>
        <v>24.516049385245694</v>
      </c>
      <c r="AF58" s="76">
        <f t="shared" si="62"/>
        <v>50.032785221200214</v>
      </c>
      <c r="AG58" s="76">
        <f t="shared" si="40"/>
        <v>21.819115888542161</v>
      </c>
      <c r="AH58" s="76">
        <f t="shared" si="63"/>
        <v>98.63451083651033</v>
      </c>
      <c r="AI58" s="76">
        <f t="shared" si="64"/>
        <v>79.123360073507897</v>
      </c>
      <c r="AJ58" s="76">
        <f t="shared" si="65"/>
        <v>56.429772918418841</v>
      </c>
      <c r="AK58" s="76">
        <f t="shared" si="44"/>
        <v>131.05851743390832</v>
      </c>
      <c r="AL58" s="76">
        <f t="shared" si="66"/>
        <v>77.883987611119736</v>
      </c>
      <c r="AM58" s="76"/>
      <c r="AN58" s="76"/>
      <c r="AO58" s="76">
        <f t="shared" si="67"/>
        <v>4.9523553885384514E-2</v>
      </c>
      <c r="AP58" s="76">
        <f t="shared" si="68"/>
        <v>2.36201268245094E-2</v>
      </c>
      <c r="AQ58" s="76">
        <f t="shared" si="41"/>
        <v>4.0445486518171161E-2</v>
      </c>
      <c r="AR58" s="76">
        <f t="shared" si="69"/>
        <v>5.0842774247029564E-2</v>
      </c>
      <c r="AS58" s="76">
        <f t="shared" si="70"/>
        <v>2.0268907563025209</v>
      </c>
      <c r="AT58" s="76">
        <f t="shared" si="71"/>
        <v>5.4068965517241378E-2</v>
      </c>
      <c r="AU58" s="76">
        <f t="shared" si="45"/>
        <v>3.8733580330077469E-2</v>
      </c>
      <c r="AV58" s="76">
        <f t="shared" si="72"/>
        <v>5.9234234234234233E-2</v>
      </c>
      <c r="AW58" s="76"/>
      <c r="AY58" s="97">
        <v>738</v>
      </c>
      <c r="AZ58" s="97">
        <v>2518</v>
      </c>
      <c r="BA58" s="97">
        <v>138</v>
      </c>
      <c r="BB58" s="97">
        <v>184</v>
      </c>
      <c r="BC58" s="97">
        <v>4824</v>
      </c>
      <c r="BD58" s="97">
        <v>784</v>
      </c>
      <c r="BE58" s="97">
        <v>230</v>
      </c>
      <c r="BF58" s="97">
        <v>263</v>
      </c>
      <c r="BG58" s="97"/>
      <c r="BI58" s="99">
        <v>14902</v>
      </c>
      <c r="BJ58" s="99">
        <v>106604</v>
      </c>
      <c r="BK58" s="99">
        <v>3412</v>
      </c>
      <c r="BL58" s="99">
        <v>3619</v>
      </c>
      <c r="BM58" s="99">
        <v>2380</v>
      </c>
      <c r="BN58" s="99">
        <v>14500</v>
      </c>
      <c r="BO58" s="99">
        <v>5938</v>
      </c>
      <c r="BP58" s="99">
        <v>4440</v>
      </c>
      <c r="BQ58" s="101"/>
    </row>
    <row r="59" spans="1:69">
      <c r="A59" s="4">
        <v>1859</v>
      </c>
      <c r="B59" s="95">
        <f t="shared" si="50"/>
        <v>63.006295808566001</v>
      </c>
      <c r="I59" s="51">
        <f t="shared" si="49"/>
        <v>53.56726989969281</v>
      </c>
      <c r="J59" s="51">
        <f t="shared" si="51"/>
        <v>63.200928544121233</v>
      </c>
      <c r="U59" s="76">
        <f t="shared" si="52"/>
        <v>5.6042699199390013E-2</v>
      </c>
      <c r="V59" s="76">
        <f t="shared" si="53"/>
        <v>0.28088067098741898</v>
      </c>
      <c r="W59" s="76">
        <f t="shared" si="54"/>
        <v>1.9157453297750666E-2</v>
      </c>
      <c r="X59" s="76">
        <f t="shared" si="55"/>
        <v>1.3438810522302707E-2</v>
      </c>
      <c r="Y59" s="76">
        <f t="shared" si="56"/>
        <v>0.50895920701486852</v>
      </c>
      <c r="Z59" s="76">
        <f t="shared" si="57"/>
        <v>7.2817384674037366E-2</v>
      </c>
      <c r="AA59" s="76">
        <f t="shared" si="58"/>
        <v>1.7727792603888678E-2</v>
      </c>
      <c r="AB59" s="76">
        <f t="shared" si="59"/>
        <v>3.097598170034312E-2</v>
      </c>
      <c r="AC59" s="76">
        <f t="shared" si="60"/>
        <v>0</v>
      </c>
      <c r="AE59" s="76">
        <f t="shared" si="61"/>
        <v>17.339753544295679</v>
      </c>
      <c r="AF59" s="76">
        <f t="shared" si="62"/>
        <v>39.908286876708985</v>
      </c>
      <c r="AG59" s="76">
        <f t="shared" ref="AG59:AG90" si="73">(AQ59/AQ$118)*100</f>
        <v>32.435960726399692</v>
      </c>
      <c r="AH59" s="76">
        <f t="shared" si="63"/>
        <v>66.184053528786919</v>
      </c>
      <c r="AI59" s="76">
        <f t="shared" si="64"/>
        <v>76.218132967568209</v>
      </c>
      <c r="AJ59" s="76">
        <f t="shared" si="65"/>
        <v>50.459337392567519</v>
      </c>
      <c r="AK59" s="76">
        <f t="shared" si="44"/>
        <v>88.55319533906794</v>
      </c>
      <c r="AL59" s="76">
        <f t="shared" si="66"/>
        <v>52.036708833241242</v>
      </c>
      <c r="AM59" s="76"/>
      <c r="AN59" s="76"/>
      <c r="AO59" s="76">
        <f t="shared" si="67"/>
        <v>3.5027104306904151E-2</v>
      </c>
      <c r="AP59" s="76">
        <f t="shared" si="68"/>
        <v>1.8840422199349185E-2</v>
      </c>
      <c r="AQ59" s="76">
        <f t="shared" ref="AQ59:AQ90" si="74">BA59/BK59</f>
        <v>6.0125635656595872E-2</v>
      </c>
      <c r="AR59" s="76">
        <f t="shared" si="69"/>
        <v>3.411565448826518E-2</v>
      </c>
      <c r="AS59" s="76">
        <f t="shared" si="70"/>
        <v>1.9524680073126142</v>
      </c>
      <c r="AT59" s="76">
        <f t="shared" si="71"/>
        <v>4.8348310340463233E-2</v>
      </c>
      <c r="AU59" s="76">
        <f t="shared" si="45"/>
        <v>2.6171380329252848E-2</v>
      </c>
      <c r="AV59" s="76">
        <f t="shared" si="72"/>
        <v>3.9576229907452506E-2</v>
      </c>
      <c r="AW59" s="76"/>
      <c r="AY59" s="97">
        <v>588</v>
      </c>
      <c r="AZ59" s="97">
        <v>2947</v>
      </c>
      <c r="BA59" s="97">
        <v>201</v>
      </c>
      <c r="BB59" s="97">
        <v>141</v>
      </c>
      <c r="BC59" s="97">
        <v>5340</v>
      </c>
      <c r="BD59" s="97">
        <v>764</v>
      </c>
      <c r="BE59" s="97">
        <v>186</v>
      </c>
      <c r="BF59" s="97">
        <v>325</v>
      </c>
      <c r="BG59" s="97"/>
      <c r="BI59" s="99">
        <v>16787</v>
      </c>
      <c r="BJ59" s="99">
        <v>156419</v>
      </c>
      <c r="BK59" s="99">
        <v>3343</v>
      </c>
      <c r="BL59" s="99">
        <v>4133</v>
      </c>
      <c r="BM59" s="99">
        <v>2735</v>
      </c>
      <c r="BN59" s="99">
        <v>15802</v>
      </c>
      <c r="BO59" s="99">
        <v>7107</v>
      </c>
      <c r="BP59" s="99">
        <v>8212</v>
      </c>
      <c r="BQ59" s="101"/>
    </row>
    <row r="60" spans="1:69">
      <c r="A60" s="4">
        <v>1860</v>
      </c>
      <c r="B60" s="95">
        <f t="shared" si="50"/>
        <v>77.992733130413697</v>
      </c>
      <c r="I60" s="51">
        <f t="shared" si="49"/>
        <v>65.197357286293254</v>
      </c>
      <c r="J60" s="51">
        <f t="shared" si="51"/>
        <v>79.567069526957638</v>
      </c>
      <c r="U60" s="76">
        <f t="shared" si="52"/>
        <v>6.2745098039215685E-2</v>
      </c>
      <c r="V60" s="76">
        <f t="shared" si="53"/>
        <v>0.15163398692810456</v>
      </c>
      <c r="W60" s="76">
        <f t="shared" si="54"/>
        <v>3.3333333333333333E-2</v>
      </c>
      <c r="X60" s="76">
        <f t="shared" si="55"/>
        <v>1.2511671335200748E-2</v>
      </c>
      <c r="Y60" s="76">
        <f t="shared" si="56"/>
        <v>0.58720821661998135</v>
      </c>
      <c r="Z60" s="76">
        <f t="shared" si="57"/>
        <v>9.2717086834733897E-2</v>
      </c>
      <c r="AA60" s="76">
        <f t="shared" si="58"/>
        <v>2.0634920634920634E-2</v>
      </c>
      <c r="AB60" s="76">
        <f t="shared" si="59"/>
        <v>3.9215686274509803E-2</v>
      </c>
      <c r="AC60" s="76">
        <f t="shared" si="60"/>
        <v>0</v>
      </c>
      <c r="AE60" s="76">
        <f t="shared" si="61"/>
        <v>29.170961842771121</v>
      </c>
      <c r="AF60" s="76">
        <f t="shared" si="62"/>
        <v>38.121837972161899</v>
      </c>
      <c r="AG60" s="76">
        <f t="shared" si="73"/>
        <v>55.469670319030485</v>
      </c>
      <c r="AH60" s="76">
        <f t="shared" si="63"/>
        <v>81.722338292788592</v>
      </c>
      <c r="AI60" s="76">
        <f t="shared" si="64"/>
        <v>97.267246980845641</v>
      </c>
      <c r="AJ60" s="76">
        <f t="shared" si="65"/>
        <v>68.764995802678015</v>
      </c>
      <c r="AK60" s="76">
        <f t="shared" si="44"/>
        <v>76.287816289259084</v>
      </c>
      <c r="AL60" s="76">
        <f t="shared" si="66"/>
        <v>54.943385727926774</v>
      </c>
      <c r="AM60" s="76"/>
      <c r="AN60" s="76"/>
      <c r="AO60" s="76">
        <f t="shared" si="67"/>
        <v>5.8926692388635564E-2</v>
      </c>
      <c r="AP60" s="76">
        <f t="shared" si="68"/>
        <v>1.79970522069661E-2</v>
      </c>
      <c r="AQ60" s="76">
        <f t="shared" si="74"/>
        <v>0.1028225806451613</v>
      </c>
      <c r="AR60" s="76">
        <f t="shared" si="69"/>
        <v>4.2125117887456771E-2</v>
      </c>
      <c r="AS60" s="76">
        <f t="shared" si="70"/>
        <v>2.4916798732171155</v>
      </c>
      <c r="AT60" s="76">
        <f t="shared" si="71"/>
        <v>6.5888129520270719E-2</v>
      </c>
      <c r="AU60" s="76">
        <f t="shared" si="45"/>
        <v>2.2546419098143235E-2</v>
      </c>
      <c r="AV60" s="76">
        <f t="shared" si="72"/>
        <v>4.1786886876927672E-2</v>
      </c>
      <c r="AW60" s="76"/>
      <c r="AY60" s="97">
        <v>672</v>
      </c>
      <c r="AZ60" s="97">
        <v>1624</v>
      </c>
      <c r="BA60" s="97">
        <v>357</v>
      </c>
      <c r="BB60" s="97">
        <v>134</v>
      </c>
      <c r="BC60" s="97">
        <v>6289</v>
      </c>
      <c r="BD60" s="97">
        <v>993</v>
      </c>
      <c r="BE60" s="97">
        <v>221</v>
      </c>
      <c r="BF60" s="97">
        <v>420</v>
      </c>
      <c r="BG60" s="97"/>
      <c r="BI60" s="99">
        <v>11404</v>
      </c>
      <c r="BJ60" s="99">
        <v>90237</v>
      </c>
      <c r="BK60" s="99">
        <v>3472</v>
      </c>
      <c r="BL60" s="99">
        <v>3181</v>
      </c>
      <c r="BM60" s="99">
        <v>2524</v>
      </c>
      <c r="BN60" s="99">
        <v>15071</v>
      </c>
      <c r="BO60" s="99">
        <v>9802</v>
      </c>
      <c r="BP60" s="99">
        <v>10051</v>
      </c>
      <c r="BQ60" s="101"/>
    </row>
    <row r="61" spans="1:69">
      <c r="A61" s="4">
        <v>1861</v>
      </c>
      <c r="B61" s="95">
        <f t="shared" ref="B61:B70" si="75">(GEOMEAN(J61:K61)/GEOMEAN(J$71:K$71))*B$71</f>
        <v>74.758841192570998</v>
      </c>
      <c r="I61" s="51">
        <f t="shared" si="49"/>
        <v>62.842717849939049</v>
      </c>
      <c r="J61" s="51">
        <f t="shared" si="51"/>
        <v>75.844700125650306</v>
      </c>
      <c r="K61" s="51">
        <f t="shared" ref="K61:K81" si="76">(AF61^V$10)*(AH61^X$10)*(AI61^Y$10)*(AJ61^Z$10)*(AL61^AB$10)*(AG61^W$10)*(AK61^AA$10)*(AE61^U$10)</f>
        <v>63.011552237626191</v>
      </c>
      <c r="U61" s="76">
        <f t="shared" si="52"/>
        <v>4.1529062087186264E-2</v>
      </c>
      <c r="V61" s="76">
        <f t="shared" si="53"/>
        <v>9.676354029062087E-2</v>
      </c>
      <c r="W61" s="76">
        <f t="shared" si="54"/>
        <v>2.5842140026420081E-2</v>
      </c>
      <c r="X61" s="76">
        <f t="shared" si="55"/>
        <v>1.3127476882430647E-2</v>
      </c>
      <c r="Y61" s="76">
        <f t="shared" si="56"/>
        <v>0.7070673712021136</v>
      </c>
      <c r="Z61" s="76">
        <f t="shared" si="57"/>
        <v>8.0663804491413471E-2</v>
      </c>
      <c r="AA61" s="76">
        <f t="shared" si="58"/>
        <v>1.3870541611624834E-2</v>
      </c>
      <c r="AB61" s="76">
        <f t="shared" si="59"/>
        <v>2.1136063408190225E-2</v>
      </c>
      <c r="AC61" s="76">
        <f t="shared" si="60"/>
        <v>0</v>
      </c>
      <c r="AE61" s="76">
        <f t="shared" si="61"/>
        <v>27.753477315345794</v>
      </c>
      <c r="AF61" s="76">
        <f t="shared" si="62"/>
        <v>38.023032085176162</v>
      </c>
      <c r="AG61" s="76">
        <f t="shared" si="73"/>
        <v>35.766580600192064</v>
      </c>
      <c r="AH61" s="76">
        <f t="shared" si="63"/>
        <v>88.612044358904257</v>
      </c>
      <c r="AI61" s="76">
        <f t="shared" si="64"/>
        <v>93.618394335464785</v>
      </c>
      <c r="AJ61" s="76">
        <f t="shared" si="65"/>
        <v>57.523335522418108</v>
      </c>
      <c r="AK61" s="76">
        <f t="shared" si="44"/>
        <v>76.962219978918995</v>
      </c>
      <c r="AL61" s="76">
        <f t="shared" si="66"/>
        <v>72.967910722056885</v>
      </c>
      <c r="AM61" s="76"/>
      <c r="AN61" s="76"/>
      <c r="AO61" s="76">
        <f t="shared" si="67"/>
        <v>5.6063308069549712E-2</v>
      </c>
      <c r="AP61" s="76">
        <f t="shared" si="68"/>
        <v>1.7950406641037815E-2</v>
      </c>
      <c r="AQ61" s="76">
        <f t="shared" si="74"/>
        <v>6.6299512815081549E-2</v>
      </c>
      <c r="AR61" s="76">
        <f t="shared" si="69"/>
        <v>4.567652973283539E-2</v>
      </c>
      <c r="AS61" s="76">
        <f t="shared" si="70"/>
        <v>2.3982077849341921</v>
      </c>
      <c r="AT61" s="76">
        <f t="shared" si="71"/>
        <v>5.5116777614803117E-2</v>
      </c>
      <c r="AU61" s="76">
        <f t="shared" si="45"/>
        <v>2.2745735174654752E-2</v>
      </c>
      <c r="AV61" s="76">
        <f t="shared" si="72"/>
        <v>5.5495339258616952E-2</v>
      </c>
      <c r="AW61" s="76"/>
      <c r="AY61" s="97">
        <v>503</v>
      </c>
      <c r="AZ61" s="97">
        <v>1172</v>
      </c>
      <c r="BA61" s="97">
        <v>313</v>
      </c>
      <c r="BB61" s="97">
        <v>159</v>
      </c>
      <c r="BC61" s="97">
        <v>8564</v>
      </c>
      <c r="BD61" s="97">
        <v>977</v>
      </c>
      <c r="BE61" s="97">
        <v>168</v>
      </c>
      <c r="BF61" s="97">
        <v>256</v>
      </c>
      <c r="BG61" s="97"/>
      <c r="BI61" s="99">
        <v>8972</v>
      </c>
      <c r="BJ61" s="99">
        <v>65291</v>
      </c>
      <c r="BK61" s="99">
        <v>4721</v>
      </c>
      <c r="BL61" s="99">
        <v>3481</v>
      </c>
      <c r="BM61" s="99">
        <v>3571</v>
      </c>
      <c r="BN61" s="99">
        <v>17726</v>
      </c>
      <c r="BO61" s="99">
        <v>7386</v>
      </c>
      <c r="BP61" s="99">
        <v>4613</v>
      </c>
      <c r="BQ61" s="101"/>
    </row>
    <row r="62" spans="1:69">
      <c r="A62" s="4">
        <v>1862</v>
      </c>
      <c r="B62" s="95">
        <f t="shared" si="75"/>
        <v>76.061185592045177</v>
      </c>
      <c r="J62" s="51">
        <f t="shared" si="51"/>
        <v>77.578707750516543</v>
      </c>
      <c r="K62" s="51">
        <f t="shared" si="76"/>
        <v>63.7681672266284</v>
      </c>
      <c r="U62" s="76">
        <f t="shared" si="52"/>
        <v>7.1930585683297174E-2</v>
      </c>
      <c r="V62" s="76">
        <f t="shared" si="53"/>
        <v>0.21249457700650759</v>
      </c>
      <c r="W62" s="76">
        <f t="shared" si="54"/>
        <v>2.2559652928416486E-2</v>
      </c>
      <c r="X62" s="76">
        <f t="shared" si="55"/>
        <v>1.1713665943600867E-2</v>
      </c>
      <c r="Y62" s="76">
        <f t="shared" si="56"/>
        <v>0.54290672451193056</v>
      </c>
      <c r="Z62" s="76">
        <f t="shared" si="57"/>
        <v>8.0260303687635579E-2</v>
      </c>
      <c r="AA62" s="76">
        <f t="shared" si="58"/>
        <v>1.3015184381778741E-2</v>
      </c>
      <c r="AB62" s="76">
        <f t="shared" si="59"/>
        <v>4.5119305856832971E-2</v>
      </c>
      <c r="AC62" s="76">
        <f t="shared" si="60"/>
        <v>0</v>
      </c>
      <c r="AE62" s="76">
        <f t="shared" si="61"/>
        <v>32.033927189241595</v>
      </c>
      <c r="AF62" s="76">
        <f t="shared" si="62"/>
        <v>33.407418729915207</v>
      </c>
      <c r="AG62" s="76">
        <f t="shared" si="73"/>
        <v>28.301479230333488</v>
      </c>
      <c r="AH62" s="76">
        <f t="shared" si="63"/>
        <v>87.738274318767154</v>
      </c>
      <c r="AI62" s="76">
        <f t="shared" si="64"/>
        <v>100.9311377232514</v>
      </c>
      <c r="AJ62" s="76">
        <f t="shared" si="65"/>
        <v>49.121669724067978</v>
      </c>
      <c r="AK62" s="76">
        <f t="shared" si="44"/>
        <v>70.687793071564826</v>
      </c>
      <c r="AL62" s="76">
        <f t="shared" si="66"/>
        <v>60.635041211575327</v>
      </c>
      <c r="AM62" s="76"/>
      <c r="AN62" s="76"/>
      <c r="AO62" s="76">
        <f t="shared" si="67"/>
        <v>6.4710014831004609E-2</v>
      </c>
      <c r="AP62" s="76">
        <f t="shared" si="68"/>
        <v>1.5771407963627231E-2</v>
      </c>
      <c r="AQ62" s="76">
        <f t="shared" si="74"/>
        <v>5.2461662631154156E-2</v>
      </c>
      <c r="AR62" s="76">
        <f t="shared" si="69"/>
        <v>4.5226130653266333E-2</v>
      </c>
      <c r="AS62" s="76">
        <f t="shared" si="70"/>
        <v>2.5855371900826447</v>
      </c>
      <c r="AT62" s="76">
        <f t="shared" si="71"/>
        <v>4.706660560728642E-2</v>
      </c>
      <c r="AU62" s="76">
        <f t="shared" si="45"/>
        <v>2.0891364902506964E-2</v>
      </c>
      <c r="AV62" s="76">
        <f t="shared" si="72"/>
        <v>4.6115643845335223E-2</v>
      </c>
      <c r="AW62" s="76"/>
      <c r="AY62" s="97">
        <v>829</v>
      </c>
      <c r="AZ62" s="97">
        <v>2449</v>
      </c>
      <c r="BA62" s="97">
        <v>260</v>
      </c>
      <c r="BB62" s="97">
        <v>135</v>
      </c>
      <c r="BC62" s="97">
        <v>6257</v>
      </c>
      <c r="BD62" s="97">
        <v>925</v>
      </c>
      <c r="BE62" s="97">
        <v>150</v>
      </c>
      <c r="BF62" s="97">
        <v>520</v>
      </c>
      <c r="BG62" s="97"/>
      <c r="BI62" s="99">
        <v>12811</v>
      </c>
      <c r="BJ62" s="99">
        <v>155281</v>
      </c>
      <c r="BK62" s="99">
        <v>4956</v>
      </c>
      <c r="BL62" s="99">
        <v>2985</v>
      </c>
      <c r="BM62" s="99">
        <v>2420</v>
      </c>
      <c r="BN62" s="99">
        <v>19653</v>
      </c>
      <c r="BO62" s="99">
        <v>7180</v>
      </c>
      <c r="BP62" s="99">
        <v>11276</v>
      </c>
      <c r="BQ62" s="101"/>
    </row>
    <row r="63" spans="1:69">
      <c r="A63" s="4">
        <v>1863</v>
      </c>
      <c r="B63" s="95">
        <f t="shared" si="75"/>
        <v>85.462035572389084</v>
      </c>
      <c r="J63" s="51">
        <f t="shared" si="51"/>
        <v>84.812336253240034</v>
      </c>
      <c r="K63" s="51">
        <f t="shared" si="76"/>
        <v>73.638974872205168</v>
      </c>
      <c r="U63" s="76">
        <f t="shared" si="52"/>
        <v>0.15051041241322988</v>
      </c>
      <c r="V63" s="76">
        <f t="shared" si="53"/>
        <v>0.16749693752552061</v>
      </c>
      <c r="W63" s="76">
        <f t="shared" si="54"/>
        <v>2.9318089015924868E-2</v>
      </c>
      <c r="X63" s="76">
        <f t="shared" si="55"/>
        <v>1.2249897917517355E-2</v>
      </c>
      <c r="Y63" s="76">
        <f t="shared" si="56"/>
        <v>0.50641077991016736</v>
      </c>
      <c r="Z63" s="76">
        <f t="shared" si="57"/>
        <v>6.4924458962841977E-2</v>
      </c>
      <c r="AA63" s="76">
        <f t="shared" si="58"/>
        <v>1.3556553695385871E-2</v>
      </c>
      <c r="AB63" s="76">
        <f t="shared" si="59"/>
        <v>5.5532870559412008E-2</v>
      </c>
      <c r="AC63" s="76">
        <f t="shared" si="60"/>
        <v>0</v>
      </c>
      <c r="AE63" s="76">
        <f t="shared" si="61"/>
        <v>57.244029584104062</v>
      </c>
      <c r="AF63" s="76">
        <f t="shared" si="62"/>
        <v>30.042965021389843</v>
      </c>
      <c r="AG63" s="76">
        <f t="shared" si="73"/>
        <v>41.55109092842924</v>
      </c>
      <c r="AH63" s="76">
        <f t="shared" si="63"/>
        <v>75.135194893857744</v>
      </c>
      <c r="AI63" s="76">
        <f t="shared" si="64"/>
        <v>113.32738372370916</v>
      </c>
      <c r="AJ63" s="76">
        <f t="shared" si="65"/>
        <v>43.268251936218185</v>
      </c>
      <c r="AK63" s="76">
        <f t="shared" ref="AK63:AK94" si="77">(AU63/AU$118)*100</f>
        <v>63.18773525791179</v>
      </c>
      <c r="AL63" s="76">
        <f t="shared" si="66"/>
        <v>53.375698901692644</v>
      </c>
      <c r="AM63" s="76"/>
      <c r="AN63" s="76"/>
      <c r="AO63" s="76">
        <f t="shared" si="67"/>
        <v>0.11563558790312461</v>
      </c>
      <c r="AP63" s="76">
        <f t="shared" si="68"/>
        <v>1.4183072976094157E-2</v>
      </c>
      <c r="AQ63" s="76">
        <f t="shared" si="74"/>
        <v>7.7022098262175501E-2</v>
      </c>
      <c r="AR63" s="76">
        <f t="shared" si="69"/>
        <v>3.8729666924864445E-2</v>
      </c>
      <c r="AS63" s="76">
        <f t="shared" si="70"/>
        <v>2.9030898876404496</v>
      </c>
      <c r="AT63" s="76">
        <f t="shared" si="71"/>
        <v>4.1458072590738422E-2</v>
      </c>
      <c r="AU63" s="76">
        <f t="shared" ref="AU63:AU94" si="78">BE63/BO63</f>
        <v>1.8674766565417934E-2</v>
      </c>
      <c r="AV63" s="76">
        <f t="shared" si="72"/>
        <v>4.0594591367679539E-2</v>
      </c>
      <c r="AW63" s="76"/>
      <c r="AY63" s="97">
        <v>1843</v>
      </c>
      <c r="AZ63" s="97">
        <v>2051</v>
      </c>
      <c r="BA63" s="97">
        <v>359</v>
      </c>
      <c r="BB63" s="97">
        <v>150</v>
      </c>
      <c r="BC63" s="97">
        <v>6201</v>
      </c>
      <c r="BD63" s="97">
        <v>795</v>
      </c>
      <c r="BE63" s="97">
        <v>166</v>
      </c>
      <c r="BF63" s="97">
        <v>680</v>
      </c>
      <c r="BG63" s="97"/>
      <c r="BI63" s="99">
        <v>15938</v>
      </c>
      <c r="BJ63" s="99">
        <v>144609</v>
      </c>
      <c r="BK63" s="99">
        <v>4661</v>
      </c>
      <c r="BL63" s="99">
        <v>3873</v>
      </c>
      <c r="BM63" s="99">
        <v>2136</v>
      </c>
      <c r="BN63" s="99">
        <v>19176</v>
      </c>
      <c r="BO63" s="99">
        <v>8889</v>
      </c>
      <c r="BP63" s="99">
        <v>16751</v>
      </c>
      <c r="BQ63" s="101"/>
    </row>
    <row r="64" spans="1:69">
      <c r="A64" s="4">
        <v>1864</v>
      </c>
      <c r="B64" s="95">
        <f t="shared" si="75"/>
        <v>96.118980367398379</v>
      </c>
      <c r="J64" s="51">
        <f t="shared" si="51"/>
        <v>93.509522968416903</v>
      </c>
      <c r="K64" s="51">
        <f t="shared" si="76"/>
        <v>84.485613822636736</v>
      </c>
      <c r="U64" s="76">
        <f t="shared" si="52"/>
        <v>0.24568152126578605</v>
      </c>
      <c r="V64" s="76">
        <f t="shared" si="53"/>
        <v>0.16185222818986791</v>
      </c>
      <c r="W64" s="76">
        <f t="shared" si="54"/>
        <v>3.041079982580926E-2</v>
      </c>
      <c r="X64" s="76">
        <f t="shared" si="55"/>
        <v>9.2901727391493678E-3</v>
      </c>
      <c r="Y64" s="76">
        <f t="shared" si="56"/>
        <v>0.44592829147916968</v>
      </c>
      <c r="Z64" s="76">
        <f t="shared" si="57"/>
        <v>6.546668602119321E-2</v>
      </c>
      <c r="AA64" s="76">
        <f t="shared" si="58"/>
        <v>1.241109014370736E-2</v>
      </c>
      <c r="AB64" s="76">
        <f t="shared" si="59"/>
        <v>2.8959210335317172E-2</v>
      </c>
      <c r="AC64" s="76">
        <f t="shared" si="60"/>
        <v>0</v>
      </c>
      <c r="AE64" s="76">
        <f t="shared" si="61"/>
        <v>84.631525175418304</v>
      </c>
      <c r="AF64" s="76">
        <f t="shared" si="62"/>
        <v>49.69747625052424</v>
      </c>
      <c r="AG64" s="76">
        <f t="shared" si="73"/>
        <v>47.288246633777135</v>
      </c>
      <c r="AH64" s="76">
        <f t="shared" si="63"/>
        <v>72.080932863977964</v>
      </c>
      <c r="AI64" s="76">
        <f t="shared" si="64"/>
        <v>119.68173311483226</v>
      </c>
      <c r="AJ64" s="76">
        <f t="shared" si="65"/>
        <v>43.119454405067266</v>
      </c>
      <c r="AK64" s="76">
        <f t="shared" si="77"/>
        <v>54.780697202175013</v>
      </c>
      <c r="AL64" s="76">
        <f t="shared" si="66"/>
        <v>39.371419996534506</v>
      </c>
      <c r="AM64" s="76"/>
      <c r="AN64" s="76"/>
      <c r="AO64" s="76">
        <f t="shared" si="67"/>
        <v>0.17095959595959595</v>
      </c>
      <c r="AP64" s="76">
        <f t="shared" si="68"/>
        <v>2.3461829812305362E-2</v>
      </c>
      <c r="AQ64" s="76">
        <f t="shared" si="74"/>
        <v>8.765690376569038E-2</v>
      </c>
      <c r="AR64" s="76">
        <f t="shared" si="69"/>
        <v>3.715529753265602E-2</v>
      </c>
      <c r="AS64" s="76">
        <f t="shared" si="70"/>
        <v>3.0658682634730541</v>
      </c>
      <c r="AT64" s="76">
        <f t="shared" si="71"/>
        <v>4.1315500183217294E-2</v>
      </c>
      <c r="AU64" s="76">
        <f t="shared" si="78"/>
        <v>1.6190115508426434E-2</v>
      </c>
      <c r="AV64" s="76">
        <f t="shared" si="72"/>
        <v>2.9943714821763601E-2</v>
      </c>
      <c r="AW64" s="76"/>
      <c r="AY64" s="97">
        <v>3385</v>
      </c>
      <c r="AZ64" s="97">
        <v>2230</v>
      </c>
      <c r="BA64" s="97">
        <v>419</v>
      </c>
      <c r="BB64" s="97">
        <v>128</v>
      </c>
      <c r="BC64" s="97">
        <v>6144</v>
      </c>
      <c r="BD64" s="97">
        <v>902</v>
      </c>
      <c r="BE64" s="97">
        <v>171</v>
      </c>
      <c r="BF64" s="97">
        <v>399</v>
      </c>
      <c r="BG64" s="97"/>
      <c r="BI64" s="99">
        <v>19800</v>
      </c>
      <c r="BJ64" s="99">
        <v>95048</v>
      </c>
      <c r="BK64" s="99">
        <v>4780</v>
      </c>
      <c r="BL64" s="99">
        <v>3445</v>
      </c>
      <c r="BM64" s="99">
        <v>2004</v>
      </c>
      <c r="BN64" s="99">
        <v>21832</v>
      </c>
      <c r="BO64" s="99">
        <v>10562</v>
      </c>
      <c r="BP64" s="99">
        <v>13325</v>
      </c>
      <c r="BQ64" s="101"/>
    </row>
    <row r="65" spans="1:69">
      <c r="A65" s="4">
        <v>1865</v>
      </c>
      <c r="B65" s="95">
        <f t="shared" si="75"/>
        <v>83.447506792669273</v>
      </c>
      <c r="J65" s="51">
        <f t="shared" si="51"/>
        <v>81.493209600604828</v>
      </c>
      <c r="K65" s="51">
        <f t="shared" si="76"/>
        <v>73.067727974534307</v>
      </c>
      <c r="U65" s="76">
        <f t="shared" si="52"/>
        <v>0.24694736842105264</v>
      </c>
      <c r="V65" s="76">
        <f t="shared" si="53"/>
        <v>0.12743859649122807</v>
      </c>
      <c r="W65" s="76">
        <f t="shared" si="54"/>
        <v>2.8350877192982456E-2</v>
      </c>
      <c r="X65" s="76">
        <f t="shared" si="55"/>
        <v>9.19298245614035E-3</v>
      </c>
      <c r="Y65" s="76">
        <f t="shared" si="56"/>
        <v>0.50182456140350873</v>
      </c>
      <c r="Z65" s="76">
        <f t="shared" si="57"/>
        <v>5.6561403508771931E-2</v>
      </c>
      <c r="AA65" s="76">
        <f t="shared" si="58"/>
        <v>6.8771929824561406E-3</v>
      </c>
      <c r="AB65" s="76">
        <f t="shared" si="59"/>
        <v>2.2807017543859651E-2</v>
      </c>
      <c r="AC65" s="76">
        <f t="shared" si="60"/>
        <v>0</v>
      </c>
      <c r="AE65" s="76">
        <f t="shared" si="61"/>
        <v>68.714078296666898</v>
      </c>
      <c r="AF65" s="76">
        <f t="shared" si="62"/>
        <v>35.77393641781341</v>
      </c>
      <c r="AG65" s="76">
        <f t="shared" si="73"/>
        <v>43.208916115472483</v>
      </c>
      <c r="AH65" s="76">
        <f t="shared" si="63"/>
        <v>79.542655997772243</v>
      </c>
      <c r="AI65" s="76">
        <f t="shared" si="64"/>
        <v>105.53960913515745</v>
      </c>
      <c r="AJ65" s="76">
        <f t="shared" si="65"/>
        <v>39.139786475933676</v>
      </c>
      <c r="AK65" s="76">
        <f t="shared" si="77"/>
        <v>46.201995928545699</v>
      </c>
      <c r="AL65" s="76">
        <f t="shared" si="66"/>
        <v>45.469828999635787</v>
      </c>
      <c r="AM65" s="76"/>
      <c r="AN65" s="76"/>
      <c r="AO65" s="76">
        <f t="shared" si="67"/>
        <v>0.13880561691385296</v>
      </c>
      <c r="AP65" s="76">
        <f t="shared" si="68"/>
        <v>1.6888624358306674E-2</v>
      </c>
      <c r="AQ65" s="76">
        <f t="shared" si="74"/>
        <v>8.009516256938938E-2</v>
      </c>
      <c r="AR65" s="76">
        <f t="shared" si="69"/>
        <v>4.1001564945226915E-2</v>
      </c>
      <c r="AS65" s="76">
        <f t="shared" si="70"/>
        <v>2.7035916824196597</v>
      </c>
      <c r="AT65" s="76">
        <f t="shared" si="71"/>
        <v>3.7502326447050066E-2</v>
      </c>
      <c r="AU65" s="76">
        <f t="shared" si="78"/>
        <v>1.3654730388741813E-2</v>
      </c>
      <c r="AV65" s="76">
        <f t="shared" si="72"/>
        <v>3.45818259204086E-2</v>
      </c>
      <c r="AW65" s="76"/>
      <c r="AY65" s="97">
        <v>3519</v>
      </c>
      <c r="AZ65" s="97">
        <v>1816</v>
      </c>
      <c r="BA65" s="97">
        <v>404</v>
      </c>
      <c r="BB65" s="97">
        <v>131</v>
      </c>
      <c r="BC65" s="97">
        <v>7151</v>
      </c>
      <c r="BD65" s="97">
        <v>806</v>
      </c>
      <c r="BE65" s="97">
        <v>98</v>
      </c>
      <c r="BF65" s="97">
        <v>325</v>
      </c>
      <c r="BG65" s="97"/>
      <c r="BI65" s="99">
        <v>25352</v>
      </c>
      <c r="BJ65" s="99">
        <v>107528</v>
      </c>
      <c r="BK65" s="99">
        <v>5044</v>
      </c>
      <c r="BL65" s="99">
        <v>3195</v>
      </c>
      <c r="BM65" s="99">
        <v>2645</v>
      </c>
      <c r="BN65" s="99">
        <v>21492</v>
      </c>
      <c r="BO65" s="99">
        <v>7177</v>
      </c>
      <c r="BP65" s="99">
        <v>9398</v>
      </c>
      <c r="BQ65" s="101"/>
    </row>
    <row r="66" spans="1:69">
      <c r="A66" s="4">
        <v>1866</v>
      </c>
      <c r="B66" s="95">
        <f t="shared" si="75"/>
        <v>79.464283354988822</v>
      </c>
      <c r="J66" s="51">
        <f t="shared" si="51"/>
        <v>78.141957176845096</v>
      </c>
      <c r="K66" s="51">
        <f t="shared" si="76"/>
        <v>69.100303129780144</v>
      </c>
      <c r="U66" s="76">
        <f t="shared" si="52"/>
        <v>0.31806648884262573</v>
      </c>
      <c r="V66" s="76">
        <f t="shared" si="53"/>
        <v>0.13031032463730402</v>
      </c>
      <c r="W66" s="76">
        <f t="shared" si="54"/>
        <v>3.1357751610175004E-2</v>
      </c>
      <c r="X66" s="76">
        <f t="shared" si="55"/>
        <v>8.1321969943399901E-3</v>
      </c>
      <c r="Y66" s="76">
        <f t="shared" si="56"/>
        <v>0.41487216186324899</v>
      </c>
      <c r="Z66" s="76">
        <f t="shared" si="57"/>
        <v>5.1981003187821222E-2</v>
      </c>
      <c r="AA66" s="76">
        <f t="shared" si="58"/>
        <v>1.0018866697026868E-2</v>
      </c>
      <c r="AB66" s="76">
        <f t="shared" si="59"/>
        <v>3.5261206167458203E-2</v>
      </c>
      <c r="AC66" s="76">
        <f t="shared" si="60"/>
        <v>0</v>
      </c>
      <c r="AE66" s="76">
        <f t="shared" si="61"/>
        <v>56.838533689989326</v>
      </c>
      <c r="AF66" s="76">
        <f t="shared" si="62"/>
        <v>32.301301423422721</v>
      </c>
      <c r="AG66" s="76">
        <f t="shared" si="73"/>
        <v>45.674409310750583</v>
      </c>
      <c r="AH66" s="76">
        <f t="shared" si="63"/>
        <v>93.125515176622827</v>
      </c>
      <c r="AI66" s="76">
        <f t="shared" si="64"/>
        <v>102.19120325347542</v>
      </c>
      <c r="AJ66" s="76">
        <f t="shared" si="65"/>
        <v>36.390427697877556</v>
      </c>
      <c r="AK66" s="76">
        <f t="shared" si="77"/>
        <v>49.512800300956961</v>
      </c>
      <c r="AL66" s="76">
        <f t="shared" si="66"/>
        <v>45.417587836772427</v>
      </c>
      <c r="AM66" s="76"/>
      <c r="AN66" s="76"/>
      <c r="AO66" s="76">
        <f t="shared" si="67"/>
        <v>0.11481646743852893</v>
      </c>
      <c r="AP66" s="76">
        <f t="shared" si="68"/>
        <v>1.5249217744821127E-2</v>
      </c>
      <c r="AQ66" s="76">
        <f t="shared" si="74"/>
        <v>8.4665378535043037E-2</v>
      </c>
      <c r="AR66" s="76">
        <f t="shared" si="69"/>
        <v>4.8003072196620582E-2</v>
      </c>
      <c r="AS66" s="76">
        <f t="shared" si="70"/>
        <v>2.617816091954023</v>
      </c>
      <c r="AT66" s="76">
        <f t="shared" si="71"/>
        <v>3.4867990399301767E-2</v>
      </c>
      <c r="AU66" s="76">
        <f t="shared" si="78"/>
        <v>1.4633219308247814E-2</v>
      </c>
      <c r="AV66" s="76">
        <f t="shared" si="72"/>
        <v>3.4542094194124018E-2</v>
      </c>
      <c r="AW66" s="76"/>
      <c r="AY66" s="97">
        <v>4889</v>
      </c>
      <c r="AZ66" s="97">
        <v>2003</v>
      </c>
      <c r="BA66" s="97">
        <v>482</v>
      </c>
      <c r="BB66" s="97">
        <v>125</v>
      </c>
      <c r="BC66" s="97">
        <v>6377</v>
      </c>
      <c r="BD66" s="97">
        <v>799</v>
      </c>
      <c r="BE66" s="97">
        <v>154</v>
      </c>
      <c r="BF66" s="97">
        <v>542</v>
      </c>
      <c r="BG66" s="97"/>
      <c r="BI66" s="99">
        <v>42581</v>
      </c>
      <c r="BJ66" s="99">
        <v>131351</v>
      </c>
      <c r="BK66" s="99">
        <v>5693</v>
      </c>
      <c r="BL66" s="99">
        <v>2604</v>
      </c>
      <c r="BM66" s="99">
        <v>2436</v>
      </c>
      <c r="BN66" s="99">
        <v>22915</v>
      </c>
      <c r="BO66" s="99">
        <v>10524</v>
      </c>
      <c r="BP66" s="99">
        <v>15691</v>
      </c>
      <c r="BQ66" s="101"/>
    </row>
    <row r="67" spans="1:69">
      <c r="A67" s="4">
        <v>1867</v>
      </c>
      <c r="B67" s="95">
        <f t="shared" si="75"/>
        <v>71.738117147040043</v>
      </c>
      <c r="J67" s="51">
        <f t="shared" si="51"/>
        <v>70.440872016162587</v>
      </c>
      <c r="K67" s="51">
        <f t="shared" si="76"/>
        <v>62.473454209867185</v>
      </c>
      <c r="U67" s="76">
        <f t="shared" si="52"/>
        <v>0.24130543454973935</v>
      </c>
      <c r="V67" s="76">
        <f t="shared" si="53"/>
        <v>9.1408983789188034E-2</v>
      </c>
      <c r="W67" s="76">
        <f t="shared" si="54"/>
        <v>4.2133828465328857E-2</v>
      </c>
      <c r="X67" s="76">
        <f t="shared" si="55"/>
        <v>1.0212097407698351E-2</v>
      </c>
      <c r="Y67" s="76">
        <f t="shared" si="56"/>
        <v>0.5030350639148754</v>
      </c>
      <c r="Z67" s="76">
        <f t="shared" si="57"/>
        <v>6.80568449617939E-2</v>
      </c>
      <c r="AA67" s="76">
        <f t="shared" si="58"/>
        <v>1.3354281225451689E-2</v>
      </c>
      <c r="AB67" s="76">
        <f t="shared" si="59"/>
        <v>3.0493465685924443E-2</v>
      </c>
      <c r="AC67" s="76">
        <f t="shared" si="60"/>
        <v>0</v>
      </c>
      <c r="AE67" s="76">
        <f t="shared" si="61"/>
        <v>42.371294631583382</v>
      </c>
      <c r="AF67" s="76">
        <f t="shared" si="62"/>
        <v>31.322407988160066</v>
      </c>
      <c r="AG67" s="76">
        <f t="shared" si="73"/>
        <v>62.803303782909602</v>
      </c>
      <c r="AH67" s="76">
        <f t="shared" si="63"/>
        <v>96.059097887394458</v>
      </c>
      <c r="AI67" s="76">
        <f t="shared" si="64"/>
        <v>87.100198582865644</v>
      </c>
      <c r="AJ67" s="76">
        <f t="shared" si="65"/>
        <v>44.944000725834513</v>
      </c>
      <c r="AK67" s="76">
        <f t="shared" si="77"/>
        <v>59.697249580442943</v>
      </c>
      <c r="AL67" s="76">
        <f t="shared" si="66"/>
        <v>37.840527248359848</v>
      </c>
      <c r="AM67" s="76"/>
      <c r="AN67" s="76"/>
      <c r="AO67" s="76">
        <f t="shared" si="67"/>
        <v>8.559197527736967E-2</v>
      </c>
      <c r="AP67" s="76">
        <f t="shared" si="68"/>
        <v>1.4787089022896884E-2</v>
      </c>
      <c r="AQ67" s="76">
        <f t="shared" si="74"/>
        <v>0.11641673243883188</v>
      </c>
      <c r="AR67" s="76">
        <f t="shared" si="69"/>
        <v>4.9515235457063711E-2</v>
      </c>
      <c r="AS67" s="76">
        <f t="shared" si="70"/>
        <v>2.2312321824516945</v>
      </c>
      <c r="AT67" s="76">
        <f t="shared" si="71"/>
        <v>4.3063714414821506E-2</v>
      </c>
      <c r="AU67" s="76">
        <f t="shared" si="78"/>
        <v>1.7643173884328709E-2</v>
      </c>
      <c r="AV67" s="76">
        <f t="shared" si="72"/>
        <v>2.8779402844240749E-2</v>
      </c>
      <c r="AW67" s="76"/>
      <c r="AY67" s="97">
        <v>3379</v>
      </c>
      <c r="AZ67" s="97">
        <v>1280</v>
      </c>
      <c r="BA67" s="97">
        <v>590</v>
      </c>
      <c r="BB67" s="97">
        <v>143</v>
      </c>
      <c r="BC67" s="97">
        <v>7044</v>
      </c>
      <c r="BD67" s="97">
        <v>953</v>
      </c>
      <c r="BE67" s="97">
        <v>187</v>
      </c>
      <c r="BF67" s="97">
        <v>427</v>
      </c>
      <c r="BG67" s="97"/>
      <c r="BI67" s="99">
        <v>39478</v>
      </c>
      <c r="BJ67" s="99">
        <v>86562</v>
      </c>
      <c r="BK67" s="99">
        <v>5068</v>
      </c>
      <c r="BL67" s="99">
        <v>2888</v>
      </c>
      <c r="BM67" s="99">
        <v>3157</v>
      </c>
      <c r="BN67" s="99">
        <v>22130</v>
      </c>
      <c r="BO67" s="99">
        <v>10599</v>
      </c>
      <c r="BP67" s="99">
        <v>14837</v>
      </c>
      <c r="BQ67" s="101"/>
    </row>
    <row r="68" spans="1:69">
      <c r="A68" s="4">
        <v>1868</v>
      </c>
      <c r="B68" s="95">
        <f t="shared" si="75"/>
        <v>71.25035952819988</v>
      </c>
      <c r="J68" s="51">
        <f t="shared" si="51"/>
        <v>70.374198281019474</v>
      </c>
      <c r="K68" s="51">
        <f t="shared" si="76"/>
        <v>61.685196834781713</v>
      </c>
      <c r="U68" s="76">
        <f t="shared" si="52"/>
        <v>0.19395351848255324</v>
      </c>
      <c r="V68" s="76">
        <f t="shared" si="53"/>
        <v>0.13400660322392699</v>
      </c>
      <c r="W68" s="76">
        <f t="shared" si="54"/>
        <v>4.6028355020392306E-2</v>
      </c>
      <c r="X68" s="76">
        <f t="shared" si="55"/>
        <v>9.9048358904641684E-3</v>
      </c>
      <c r="Y68" s="76">
        <f t="shared" si="56"/>
        <v>0.50611769275587493</v>
      </c>
      <c r="Z68" s="76">
        <f t="shared" si="57"/>
        <v>6.001165274810643E-2</v>
      </c>
      <c r="AA68" s="76">
        <f t="shared" si="58"/>
        <v>1.8903346928206124E-2</v>
      </c>
      <c r="AB68" s="76">
        <f t="shared" si="59"/>
        <v>3.107399495047582E-2</v>
      </c>
      <c r="AC68" s="76">
        <f t="shared" si="60"/>
        <v>0</v>
      </c>
      <c r="AE68" s="76">
        <f t="shared" si="61"/>
        <v>35.595793960184274</v>
      </c>
      <c r="AF68" s="76">
        <f t="shared" si="62"/>
        <v>35.384405994544245</v>
      </c>
      <c r="AG68" s="76">
        <f t="shared" si="73"/>
        <v>57.282404643181806</v>
      </c>
      <c r="AH68" s="76">
        <f t="shared" si="63"/>
        <v>76.420850159729468</v>
      </c>
      <c r="AI68" s="76">
        <f t="shared" si="64"/>
        <v>85.703404089618701</v>
      </c>
      <c r="AJ68" s="76">
        <f t="shared" si="65"/>
        <v>47.20544039380728</v>
      </c>
      <c r="AK68" s="76">
        <f t="shared" si="77"/>
        <v>75.489608517787261</v>
      </c>
      <c r="AL68" s="76">
        <f t="shared" si="66"/>
        <v>45.910149327241633</v>
      </c>
      <c r="AM68" s="76"/>
      <c r="AN68" s="76"/>
      <c r="AO68" s="76">
        <f t="shared" si="67"/>
        <v>7.1905150482407712E-2</v>
      </c>
      <c r="AP68" s="76">
        <f t="shared" si="68"/>
        <v>1.6704729778803554E-2</v>
      </c>
      <c r="AQ68" s="76">
        <f t="shared" si="74"/>
        <v>0.10618279569892473</v>
      </c>
      <c r="AR68" s="76">
        <f t="shared" si="69"/>
        <v>3.9392378990731204E-2</v>
      </c>
      <c r="AS68" s="76">
        <f t="shared" si="70"/>
        <v>2.1954507160909857</v>
      </c>
      <c r="AT68" s="76">
        <f t="shared" si="71"/>
        <v>4.5230544035130521E-2</v>
      </c>
      <c r="AU68" s="76">
        <f t="shared" si="78"/>
        <v>2.2310513447432762E-2</v>
      </c>
      <c r="AV68" s="76">
        <f t="shared" si="72"/>
        <v>3.4916709100167309E-2</v>
      </c>
      <c r="AW68" s="76"/>
      <c r="AY68" s="97">
        <v>2996</v>
      </c>
      <c r="AZ68" s="97">
        <v>2070</v>
      </c>
      <c r="BA68" s="97">
        <v>711</v>
      </c>
      <c r="BB68" s="97">
        <v>153</v>
      </c>
      <c r="BC68" s="97">
        <v>7818</v>
      </c>
      <c r="BD68" s="97">
        <v>927</v>
      </c>
      <c r="BE68" s="97">
        <v>292</v>
      </c>
      <c r="BF68" s="97">
        <v>480</v>
      </c>
      <c r="BG68" s="97"/>
      <c r="BI68" s="99">
        <v>41666</v>
      </c>
      <c r="BJ68" s="99">
        <v>123917</v>
      </c>
      <c r="BK68" s="99">
        <v>6696</v>
      </c>
      <c r="BL68" s="99">
        <v>3884</v>
      </c>
      <c r="BM68" s="99">
        <v>3561</v>
      </c>
      <c r="BN68" s="99">
        <v>20495</v>
      </c>
      <c r="BO68" s="99">
        <v>13088</v>
      </c>
      <c r="BP68" s="99">
        <v>13747</v>
      </c>
      <c r="BQ68" s="101"/>
    </row>
    <row r="69" spans="1:69">
      <c r="A69" s="4">
        <v>1869</v>
      </c>
      <c r="B69" s="95">
        <f t="shared" si="75"/>
        <v>57.562642992694805</v>
      </c>
      <c r="J69" s="51">
        <f t="shared" si="51"/>
        <v>56.12628989115607</v>
      </c>
      <c r="K69" s="51">
        <f t="shared" si="76"/>
        <v>50.481867505338286</v>
      </c>
      <c r="U69" s="76">
        <f t="shared" si="52"/>
        <v>0.20830553702468313</v>
      </c>
      <c r="V69" s="76">
        <f t="shared" si="53"/>
        <v>7.8552368245496995E-2</v>
      </c>
      <c r="W69" s="76">
        <f t="shared" si="54"/>
        <v>4.6280853902601733E-2</v>
      </c>
      <c r="X69" s="76">
        <f t="shared" si="55"/>
        <v>8.2555036691127417E-3</v>
      </c>
      <c r="Y69" s="76">
        <f t="shared" si="56"/>
        <v>0.53443962641761178</v>
      </c>
      <c r="Z69" s="76">
        <f t="shared" si="57"/>
        <v>7.6384256170780526E-2</v>
      </c>
      <c r="AA69" s="76">
        <f t="shared" si="58"/>
        <v>1.5760507004669778E-2</v>
      </c>
      <c r="AB69" s="76">
        <f t="shared" si="59"/>
        <v>3.2021347565043365E-2</v>
      </c>
      <c r="AC69" s="76">
        <f t="shared" si="60"/>
        <v>0</v>
      </c>
      <c r="AE69" s="76">
        <f t="shared" si="61"/>
        <v>31.452179553665093</v>
      </c>
      <c r="AF69" s="76">
        <f t="shared" si="62"/>
        <v>30.671098085325504</v>
      </c>
      <c r="AG69" s="76">
        <f t="shared" si="73"/>
        <v>51.312031337005259</v>
      </c>
      <c r="AH69" s="76">
        <f t="shared" si="63"/>
        <v>68.543569765803468</v>
      </c>
      <c r="AI69" s="76">
        <f t="shared" si="64"/>
        <v>65.804037142254643</v>
      </c>
      <c r="AJ69" s="76">
        <f t="shared" si="65"/>
        <v>40.601172558363778</v>
      </c>
      <c r="AK69" s="76">
        <f t="shared" si="77"/>
        <v>62.09324462179169</v>
      </c>
      <c r="AL69" s="76">
        <f t="shared" si="66"/>
        <v>43.179804861136802</v>
      </c>
      <c r="AM69" s="76"/>
      <c r="AN69" s="76"/>
      <c r="AO69" s="76">
        <f t="shared" si="67"/>
        <v>6.3534857695144595E-2</v>
      </c>
      <c r="AP69" s="76">
        <f t="shared" si="68"/>
        <v>1.4479610187988995E-2</v>
      </c>
      <c r="AQ69" s="76">
        <f t="shared" si="74"/>
        <v>9.5115681233933158E-2</v>
      </c>
      <c r="AR69" s="76">
        <f t="shared" si="69"/>
        <v>3.5331905781584586E-2</v>
      </c>
      <c r="AS69" s="76">
        <f t="shared" si="70"/>
        <v>1.6856917411888479</v>
      </c>
      <c r="AT69" s="76">
        <f t="shared" si="71"/>
        <v>3.8902573685551688E-2</v>
      </c>
      <c r="AU69" s="76">
        <f t="shared" si="78"/>
        <v>1.8351296242353626E-2</v>
      </c>
      <c r="AV69" s="76">
        <f t="shared" si="72"/>
        <v>3.2840160779953817E-2</v>
      </c>
      <c r="AW69" s="76"/>
      <c r="AY69" s="97">
        <v>2498</v>
      </c>
      <c r="AZ69" s="97">
        <v>942</v>
      </c>
      <c r="BA69" s="97">
        <v>555</v>
      </c>
      <c r="BB69" s="97">
        <v>99</v>
      </c>
      <c r="BC69" s="97">
        <v>6409</v>
      </c>
      <c r="BD69" s="97">
        <v>916</v>
      </c>
      <c r="BE69" s="97">
        <v>189</v>
      </c>
      <c r="BF69" s="97">
        <v>384</v>
      </c>
      <c r="BG69" s="97"/>
      <c r="BI69" s="99">
        <v>39317</v>
      </c>
      <c r="BJ69" s="99">
        <v>65057</v>
      </c>
      <c r="BK69" s="99">
        <v>5835</v>
      </c>
      <c r="BL69" s="99">
        <v>2802</v>
      </c>
      <c r="BM69" s="99">
        <v>3802</v>
      </c>
      <c r="BN69" s="99">
        <v>23546</v>
      </c>
      <c r="BO69" s="99">
        <v>10299</v>
      </c>
      <c r="BP69" s="99">
        <v>11693</v>
      </c>
      <c r="BQ69" s="101"/>
    </row>
    <row r="70" spans="1:69">
      <c r="A70" s="4">
        <v>1870</v>
      </c>
      <c r="B70" s="95">
        <f t="shared" si="75"/>
        <v>65.931896567335926</v>
      </c>
      <c r="J70" s="51">
        <f t="shared" si="51"/>
        <v>64.046822188700901</v>
      </c>
      <c r="K70" s="51">
        <f t="shared" si="76"/>
        <v>58.038188140285399</v>
      </c>
      <c r="U70" s="76">
        <f t="shared" si="52"/>
        <v>0.2420757363253857</v>
      </c>
      <c r="V70" s="76">
        <f t="shared" si="53"/>
        <v>0.16086956521739129</v>
      </c>
      <c r="W70" s="76">
        <f t="shared" si="54"/>
        <v>3.8990182328190744E-2</v>
      </c>
      <c r="X70" s="76">
        <f t="shared" si="55"/>
        <v>1.1570827489481066E-2</v>
      </c>
      <c r="Y70" s="76">
        <f t="shared" si="56"/>
        <v>0.423492286115007</v>
      </c>
      <c r="Z70" s="76">
        <f t="shared" si="57"/>
        <v>6.7180925666199154E-2</v>
      </c>
      <c r="AA70" s="76">
        <f t="shared" si="58"/>
        <v>1.6970546984572229E-2</v>
      </c>
      <c r="AB70" s="76">
        <f t="shared" si="59"/>
        <v>3.8849929873772789E-2</v>
      </c>
      <c r="AC70" s="76">
        <f t="shared" si="60"/>
        <v>0</v>
      </c>
      <c r="AE70" s="76">
        <f t="shared" si="61"/>
        <v>39.719034857874462</v>
      </c>
      <c r="AF70" s="76">
        <f t="shared" si="62"/>
        <v>35.181600057004758</v>
      </c>
      <c r="AG70" s="76">
        <f t="shared" si="73"/>
        <v>52.300814749135682</v>
      </c>
      <c r="AH70" s="76">
        <f t="shared" si="63"/>
        <v>69.921029009677184</v>
      </c>
      <c r="AI70" s="76">
        <f t="shared" si="64"/>
        <v>75.680040949061251</v>
      </c>
      <c r="AJ70" s="76">
        <f t="shared" si="65"/>
        <v>42.674849567742889</v>
      </c>
      <c r="AK70" s="76">
        <f t="shared" si="77"/>
        <v>78.244485892293795</v>
      </c>
      <c r="AL70" s="76">
        <f t="shared" si="66"/>
        <v>47.897523758340085</v>
      </c>
      <c r="AM70" s="76"/>
      <c r="AN70" s="76"/>
      <c r="AO70" s="76">
        <f t="shared" si="67"/>
        <v>8.0234287839345483E-2</v>
      </c>
      <c r="AP70" s="76">
        <f t="shared" si="68"/>
        <v>1.6608986518773801E-2</v>
      </c>
      <c r="AQ70" s="76">
        <f t="shared" si="74"/>
        <v>9.6948561464690497E-2</v>
      </c>
      <c r="AR70" s="76">
        <f t="shared" si="69"/>
        <v>3.6041939711664479E-2</v>
      </c>
      <c r="AS70" s="76">
        <f t="shared" si="70"/>
        <v>1.9386837881219903</v>
      </c>
      <c r="AT70" s="76">
        <f t="shared" si="71"/>
        <v>4.0889495923855053E-2</v>
      </c>
      <c r="AU70" s="76">
        <f t="shared" si="78"/>
        <v>2.3124701385570951E-2</v>
      </c>
      <c r="AV70" s="76">
        <f t="shared" si="72"/>
        <v>3.6428195686480799E-2</v>
      </c>
      <c r="AW70" s="76"/>
      <c r="AY70" s="97">
        <v>3452</v>
      </c>
      <c r="AZ70" s="97">
        <v>2294</v>
      </c>
      <c r="BA70" s="97">
        <v>556</v>
      </c>
      <c r="BB70" s="97">
        <v>165</v>
      </c>
      <c r="BC70" s="97">
        <v>6039</v>
      </c>
      <c r="BD70" s="97">
        <v>958</v>
      </c>
      <c r="BE70" s="97">
        <v>242</v>
      </c>
      <c r="BF70" s="97">
        <v>554</v>
      </c>
      <c r="BG70" s="97"/>
      <c r="BI70" s="99">
        <v>43024</v>
      </c>
      <c r="BJ70" s="99">
        <v>138118</v>
      </c>
      <c r="BK70" s="99">
        <v>5735</v>
      </c>
      <c r="BL70" s="99">
        <v>4578</v>
      </c>
      <c r="BM70" s="99">
        <v>3115</v>
      </c>
      <c r="BN70" s="99">
        <v>23429</v>
      </c>
      <c r="BO70" s="99">
        <v>10465</v>
      </c>
      <c r="BP70" s="99">
        <v>15208</v>
      </c>
      <c r="BQ70" s="101"/>
    </row>
    <row r="71" spans="1:69">
      <c r="A71" s="4">
        <v>1871</v>
      </c>
      <c r="B71" s="95">
        <f t="shared" ref="B71:B80" si="79">(GEOMEAN(K71:L71)/GEOMEAN(K$81:L$81))*B$81</f>
        <v>65.346696474313148</v>
      </c>
      <c r="J71" s="51">
        <f t="shared" si="51"/>
        <v>65.085720897350882</v>
      </c>
      <c r="K71" s="51">
        <f t="shared" si="76"/>
        <v>56.102452908217735</v>
      </c>
      <c r="L71" s="51">
        <f t="shared" ref="L71:L91" si="80">(AF71^V$11)*(AH71^X$11)*(AI71^Y$11)*(AJ71^Z$11)*(AL71^AB$11)*(AG71^W$11)*(AK71^AA$11)*(AE71^U$11)</f>
        <v>64.314250355700736</v>
      </c>
      <c r="U71" s="76">
        <f t="shared" si="52"/>
        <v>0.15183996722878404</v>
      </c>
      <c r="V71" s="76">
        <f t="shared" si="53"/>
        <v>0.1133337884891104</v>
      </c>
      <c r="W71" s="76">
        <f t="shared" si="54"/>
        <v>6.3221137434286881E-2</v>
      </c>
      <c r="X71" s="76">
        <f t="shared" si="55"/>
        <v>9.7630914180378229E-3</v>
      </c>
      <c r="Y71" s="76">
        <f t="shared" si="56"/>
        <v>0.53021096470266948</v>
      </c>
      <c r="Z71" s="76">
        <f t="shared" si="57"/>
        <v>6.8341639926264769E-2</v>
      </c>
      <c r="AA71" s="76">
        <f t="shared" si="58"/>
        <v>2.3486038096538542E-2</v>
      </c>
      <c r="AB71" s="76">
        <f t="shared" si="59"/>
        <v>3.9803372704308046E-2</v>
      </c>
      <c r="AC71" s="76">
        <f t="shared" si="60"/>
        <v>0</v>
      </c>
      <c r="AE71" s="76">
        <f t="shared" si="61"/>
        <v>24.500731829628432</v>
      </c>
      <c r="AF71" s="76">
        <f t="shared" si="62"/>
        <v>30.302106663448797</v>
      </c>
      <c r="AG71" s="76">
        <f t="shared" si="73"/>
        <v>80.885520480447468</v>
      </c>
      <c r="AH71" s="76">
        <f t="shared" si="63"/>
        <v>62.048462245313161</v>
      </c>
      <c r="AI71" s="76">
        <f t="shared" si="64"/>
        <v>79.216072006239841</v>
      </c>
      <c r="AJ71" s="76">
        <f t="shared" si="65"/>
        <v>48.539077028204652</v>
      </c>
      <c r="AK71" s="76">
        <f t="shared" si="77"/>
        <v>70.261657959402541</v>
      </c>
      <c r="AL71" s="76">
        <f t="shared" si="66"/>
        <v>47.268676092645499</v>
      </c>
      <c r="AM71" s="76"/>
      <c r="AN71" s="76"/>
      <c r="AO71" s="76">
        <f t="shared" si="67"/>
        <v>4.9492611714438313E-2</v>
      </c>
      <c r="AP71" s="76">
        <f t="shared" si="68"/>
        <v>1.4305411926921752E-2</v>
      </c>
      <c r="AQ71" s="76">
        <f t="shared" si="74"/>
        <v>0.14993523316062177</v>
      </c>
      <c r="AR71" s="76">
        <f t="shared" si="69"/>
        <v>3.198389622008499E-2</v>
      </c>
      <c r="AS71" s="76">
        <f t="shared" si="70"/>
        <v>2.0292657434021426</v>
      </c>
      <c r="AT71" s="76">
        <f t="shared" si="71"/>
        <v>4.650838637736375E-2</v>
      </c>
      <c r="AU71" s="76">
        <f t="shared" si="78"/>
        <v>2.0765423155861402E-2</v>
      </c>
      <c r="AV71" s="76">
        <f t="shared" si="72"/>
        <v>3.5949929086760805E-2</v>
      </c>
      <c r="AW71" s="76"/>
      <c r="AY71" s="97">
        <v>2224</v>
      </c>
      <c r="AZ71" s="97">
        <v>1660</v>
      </c>
      <c r="BA71" s="97">
        <v>926</v>
      </c>
      <c r="BB71" s="97">
        <v>143</v>
      </c>
      <c r="BC71" s="97">
        <v>7766</v>
      </c>
      <c r="BD71" s="97">
        <v>1001</v>
      </c>
      <c r="BE71" s="97">
        <v>344</v>
      </c>
      <c r="BF71" s="97">
        <v>583</v>
      </c>
      <c r="BG71" s="97"/>
      <c r="BI71" s="99">
        <v>44936</v>
      </c>
      <c r="BJ71" s="99">
        <v>116040</v>
      </c>
      <c r="BK71" s="99">
        <v>6176</v>
      </c>
      <c r="BL71" s="99">
        <v>4471</v>
      </c>
      <c r="BM71" s="99">
        <v>3827</v>
      </c>
      <c r="BN71" s="99">
        <v>21523</v>
      </c>
      <c r="BO71" s="99">
        <v>16566</v>
      </c>
      <c r="BP71" s="99">
        <v>16217</v>
      </c>
      <c r="BQ71" s="101"/>
    </row>
    <row r="72" spans="1:69">
      <c r="A72" s="4">
        <v>1872</v>
      </c>
      <c r="B72" s="95">
        <f t="shared" si="79"/>
        <v>64.161414692671002</v>
      </c>
      <c r="K72" s="51">
        <f t="shared" si="76"/>
        <v>56.251775535496229</v>
      </c>
      <c r="L72" s="51">
        <f t="shared" si="80"/>
        <v>61.837712309548536</v>
      </c>
      <c r="U72" s="76">
        <f t="shared" si="52"/>
        <v>0.25632684567458786</v>
      </c>
      <c r="V72" s="76">
        <f t="shared" si="53"/>
        <v>0.1551524507912003</v>
      </c>
      <c r="W72" s="76">
        <f t="shared" si="54"/>
        <v>5.7892705519104595E-2</v>
      </c>
      <c r="X72" s="76">
        <f t="shared" si="55"/>
        <v>1.0475822903457022E-2</v>
      </c>
      <c r="Y72" s="76">
        <f t="shared" si="56"/>
        <v>0.39543474665049344</v>
      </c>
      <c r="Z72" s="76">
        <f t="shared" si="57"/>
        <v>6.495010200143353E-2</v>
      </c>
      <c r="AA72" s="76">
        <f t="shared" si="58"/>
        <v>2.2219771737332524E-2</v>
      </c>
      <c r="AB72" s="76">
        <f t="shared" si="59"/>
        <v>3.7547554722390693E-2</v>
      </c>
      <c r="AC72" s="76">
        <f t="shared" si="60"/>
        <v>0</v>
      </c>
      <c r="AE72" s="76">
        <f t="shared" si="61"/>
        <v>29.311263073577592</v>
      </c>
      <c r="AF72" s="76">
        <f t="shared" si="62"/>
        <v>34.41844847954777</v>
      </c>
      <c r="AG72" s="76">
        <f t="shared" si="73"/>
        <v>85.28202674056088</v>
      </c>
      <c r="AH72" s="76">
        <f t="shared" si="63"/>
        <v>66.450016064591182</v>
      </c>
      <c r="AI72" s="76">
        <f t="shared" si="64"/>
        <v>68.958630365431304</v>
      </c>
      <c r="AJ72" s="76">
        <f t="shared" si="65"/>
        <v>56.530940167352497</v>
      </c>
      <c r="AK72" s="76">
        <f t="shared" si="77"/>
        <v>78.41660696006889</v>
      </c>
      <c r="AL72" s="76">
        <f t="shared" si="66"/>
        <v>73.40037542829387</v>
      </c>
      <c r="AM72" s="76"/>
      <c r="AN72" s="76"/>
      <c r="AO72" s="76">
        <f t="shared" si="67"/>
        <v>5.9210107365283954E-2</v>
      </c>
      <c r="AP72" s="76">
        <f t="shared" si="68"/>
        <v>1.6248708014066044E-2</v>
      </c>
      <c r="AQ72" s="76">
        <f t="shared" si="74"/>
        <v>0.15808491418247517</v>
      </c>
      <c r="AR72" s="76">
        <f t="shared" si="69"/>
        <v>3.425274923382008E-2</v>
      </c>
      <c r="AS72" s="76">
        <f t="shared" si="70"/>
        <v>1.7665024630541872</v>
      </c>
      <c r="AT72" s="76">
        <f t="shared" si="71"/>
        <v>5.4165900312672433E-2</v>
      </c>
      <c r="AU72" s="76">
        <f t="shared" si="78"/>
        <v>2.3175570763126114E-2</v>
      </c>
      <c r="AV72" s="76">
        <f t="shared" si="72"/>
        <v>5.5824247889171244E-2</v>
      </c>
      <c r="AW72" s="76"/>
      <c r="AY72" s="97">
        <v>4649</v>
      </c>
      <c r="AZ72" s="97">
        <v>2814</v>
      </c>
      <c r="BA72" s="97">
        <v>1050</v>
      </c>
      <c r="BB72" s="97">
        <v>190</v>
      </c>
      <c r="BC72" s="97">
        <v>7172</v>
      </c>
      <c r="BD72" s="97">
        <v>1178</v>
      </c>
      <c r="BE72" s="97">
        <v>403</v>
      </c>
      <c r="BF72" s="97">
        <v>681</v>
      </c>
      <c r="BG72" s="97"/>
      <c r="BI72" s="99">
        <v>78517</v>
      </c>
      <c r="BJ72" s="99">
        <v>173183</v>
      </c>
      <c r="BK72" s="99">
        <v>6642</v>
      </c>
      <c r="BL72" s="99">
        <v>5547</v>
      </c>
      <c r="BM72" s="99">
        <v>4060</v>
      </c>
      <c r="BN72" s="99">
        <v>21748</v>
      </c>
      <c r="BO72" s="99">
        <v>17389</v>
      </c>
      <c r="BP72" s="99">
        <v>12199</v>
      </c>
      <c r="BQ72" s="101"/>
    </row>
    <row r="73" spans="1:69">
      <c r="A73" s="4">
        <v>1873</v>
      </c>
      <c r="B73" s="95">
        <f t="shared" si="79"/>
        <v>94.209432629188612</v>
      </c>
      <c r="K73" s="51">
        <f t="shared" si="76"/>
        <v>79.449157657221335</v>
      </c>
      <c r="L73" s="51">
        <f t="shared" si="80"/>
        <v>94.393321190624917</v>
      </c>
      <c r="U73" s="76">
        <f t="shared" si="52"/>
        <v>0.13075172958165018</v>
      </c>
      <c r="V73" s="76">
        <f t="shared" si="53"/>
        <v>0.13423410874309327</v>
      </c>
      <c r="W73" s="76">
        <f t="shared" si="54"/>
        <v>4.8706876538050795E-2</v>
      </c>
      <c r="X73" s="76">
        <f t="shared" si="55"/>
        <v>7.2897803779542183E-3</v>
      </c>
      <c r="Y73" s="76">
        <f t="shared" si="56"/>
        <v>0.5577842782188791</v>
      </c>
      <c r="Z73" s="76">
        <f t="shared" si="57"/>
        <v>7.2015601058643269E-2</v>
      </c>
      <c r="AA73" s="76">
        <f t="shared" si="58"/>
        <v>1.6158239309095976E-2</v>
      </c>
      <c r="AB73" s="76">
        <f t="shared" si="59"/>
        <v>3.305938617263314E-2</v>
      </c>
      <c r="AC73" s="76">
        <f t="shared" si="60"/>
        <v>0</v>
      </c>
      <c r="AE73" s="76">
        <f t="shared" si="61"/>
        <v>30.335280517822838</v>
      </c>
      <c r="AF73" s="76">
        <f t="shared" si="62"/>
        <v>31.319587293792544</v>
      </c>
      <c r="AG73" s="76">
        <f t="shared" si="73"/>
        <v>87.655475817214665</v>
      </c>
      <c r="AH73" s="76">
        <f t="shared" si="63"/>
        <v>70.390234561827342</v>
      </c>
      <c r="AI73" s="76">
        <f t="shared" si="64"/>
        <v>134.10044670248391</v>
      </c>
      <c r="AJ73" s="76">
        <f t="shared" si="65"/>
        <v>63.439455458158932</v>
      </c>
      <c r="AK73" s="76">
        <f t="shared" si="77"/>
        <v>75.635212093325933</v>
      </c>
      <c r="AL73" s="76">
        <f t="shared" si="66"/>
        <v>55.3914829786616</v>
      </c>
      <c r="AM73" s="76"/>
      <c r="AN73" s="76"/>
      <c r="AO73" s="76">
        <f t="shared" si="67"/>
        <v>6.1278669974322152E-2</v>
      </c>
      <c r="AP73" s="76">
        <f t="shared" si="68"/>
        <v>1.4785757392878697E-2</v>
      </c>
      <c r="AQ73" s="76">
        <f t="shared" si="74"/>
        <v>0.16248451053283766</v>
      </c>
      <c r="AR73" s="76">
        <f t="shared" si="69"/>
        <v>3.6283799399121797E-2</v>
      </c>
      <c r="AS73" s="76">
        <f t="shared" si="70"/>
        <v>3.4352301973119816</v>
      </c>
      <c r="AT73" s="76">
        <f t="shared" si="71"/>
        <v>6.0785389559492087E-2</v>
      </c>
      <c r="AU73" s="76">
        <f t="shared" si="78"/>
        <v>2.2353545734840698E-2</v>
      </c>
      <c r="AV73" s="76">
        <f t="shared" si="72"/>
        <v>4.2127684752381517E-2</v>
      </c>
      <c r="AW73" s="76"/>
      <c r="AY73" s="97">
        <v>2816</v>
      </c>
      <c r="AZ73" s="97">
        <v>2891</v>
      </c>
      <c r="BA73" s="97">
        <v>1049</v>
      </c>
      <c r="BB73" s="97">
        <v>157</v>
      </c>
      <c r="BC73" s="97">
        <v>12013</v>
      </c>
      <c r="BD73" s="97">
        <v>1551</v>
      </c>
      <c r="BE73" s="97">
        <v>348</v>
      </c>
      <c r="BF73" s="97">
        <v>712</v>
      </c>
      <c r="BG73" s="97"/>
      <c r="BI73" s="99">
        <v>45954</v>
      </c>
      <c r="BJ73" s="99">
        <v>195526</v>
      </c>
      <c r="BK73" s="99">
        <v>6456</v>
      </c>
      <c r="BL73" s="99">
        <v>4327</v>
      </c>
      <c r="BM73" s="99">
        <v>3497</v>
      </c>
      <c r="BN73" s="99">
        <v>25516</v>
      </c>
      <c r="BO73" s="99">
        <v>15568</v>
      </c>
      <c r="BP73" s="99">
        <v>16901</v>
      </c>
      <c r="BQ73" s="101"/>
    </row>
    <row r="74" spans="1:69">
      <c r="A74" s="4">
        <v>1874</v>
      </c>
      <c r="B74" s="95">
        <f t="shared" si="79"/>
        <v>102.4005346914244</v>
      </c>
      <c r="K74" s="51">
        <f t="shared" si="76"/>
        <v>83.756912000343846</v>
      </c>
      <c r="L74" s="51">
        <f t="shared" si="80"/>
        <v>105.78536255967522</v>
      </c>
      <c r="U74" s="76">
        <f t="shared" si="52"/>
        <v>0.13183005222981117</v>
      </c>
      <c r="V74" s="76">
        <f t="shared" si="53"/>
        <v>9.63238248292487E-2</v>
      </c>
      <c r="W74" s="76">
        <f t="shared" si="54"/>
        <v>5.7703897147448772E-2</v>
      </c>
      <c r="X74" s="76">
        <f t="shared" si="55"/>
        <v>7.4327038971474489E-3</v>
      </c>
      <c r="Y74" s="76">
        <f t="shared" si="56"/>
        <v>0.60144636400160711</v>
      </c>
      <c r="Z74" s="76">
        <f t="shared" si="57"/>
        <v>6.3228204098031343E-2</v>
      </c>
      <c r="AA74" s="76">
        <f t="shared" si="58"/>
        <v>1.2705905986339895E-2</v>
      </c>
      <c r="AB74" s="76">
        <f t="shared" si="59"/>
        <v>2.9329047810365608E-2</v>
      </c>
      <c r="AC74" s="76">
        <f t="shared" si="60"/>
        <v>0</v>
      </c>
      <c r="AE74" s="76">
        <f t="shared" si="61"/>
        <v>23.110820068999335</v>
      </c>
      <c r="AF74" s="76">
        <f t="shared" si="62"/>
        <v>26.168634208960501</v>
      </c>
      <c r="AG74" s="76">
        <f t="shared" si="73"/>
        <v>90.094582174808323</v>
      </c>
      <c r="AH74" s="76">
        <f t="shared" si="63"/>
        <v>62.254689583606293</v>
      </c>
      <c r="AI74" s="76">
        <f t="shared" si="64"/>
        <v>168.53096609687586</v>
      </c>
      <c r="AJ74" s="76">
        <f t="shared" si="65"/>
        <v>60.624323198784388</v>
      </c>
      <c r="AK74" s="76">
        <f t="shared" si="77"/>
        <v>63.713011623608395</v>
      </c>
      <c r="AL74" s="76">
        <f t="shared" si="66"/>
        <v>55.242515664887435</v>
      </c>
      <c r="AM74" s="76"/>
      <c r="AN74" s="76"/>
      <c r="AO74" s="76">
        <f t="shared" si="67"/>
        <v>4.6684925659813616E-2</v>
      </c>
      <c r="AP74" s="76">
        <f t="shared" si="68"/>
        <v>1.2354028585598991E-2</v>
      </c>
      <c r="AQ74" s="76">
        <f t="shared" si="74"/>
        <v>0.16700581395348837</v>
      </c>
      <c r="AR74" s="76">
        <f t="shared" si="69"/>
        <v>3.2090199479618386E-2</v>
      </c>
      <c r="AS74" s="76">
        <f t="shared" si="70"/>
        <v>4.3172314347512621</v>
      </c>
      <c r="AT74" s="76">
        <f t="shared" si="71"/>
        <v>5.8088031743102335E-2</v>
      </c>
      <c r="AU74" s="76">
        <f t="shared" si="78"/>
        <v>1.8830008931229533E-2</v>
      </c>
      <c r="AV74" s="76">
        <f t="shared" si="72"/>
        <v>4.2014388489208632E-2</v>
      </c>
      <c r="AW74" s="76"/>
      <c r="AY74" s="97">
        <v>2625</v>
      </c>
      <c r="AZ74" s="97">
        <v>1918</v>
      </c>
      <c r="BA74" s="97">
        <v>1149</v>
      </c>
      <c r="BB74" s="97">
        <v>148</v>
      </c>
      <c r="BC74" s="97">
        <v>11976</v>
      </c>
      <c r="BD74" s="97">
        <v>1259</v>
      </c>
      <c r="BE74" s="97">
        <v>253</v>
      </c>
      <c r="BF74" s="97">
        <v>584</v>
      </c>
      <c r="BG74" s="97"/>
      <c r="BI74" s="99">
        <v>56228</v>
      </c>
      <c r="BJ74" s="99">
        <v>155253</v>
      </c>
      <c r="BK74" s="99">
        <v>6880</v>
      </c>
      <c r="BL74" s="99">
        <v>4612</v>
      </c>
      <c r="BM74" s="99">
        <v>2774</v>
      </c>
      <c r="BN74" s="99">
        <v>21674</v>
      </c>
      <c r="BO74" s="99">
        <v>13436</v>
      </c>
      <c r="BP74" s="99">
        <v>13900</v>
      </c>
      <c r="BQ74" s="101"/>
    </row>
    <row r="75" spans="1:69">
      <c r="A75" s="4">
        <v>1875</v>
      </c>
      <c r="B75" s="95">
        <f t="shared" si="79"/>
        <v>91.13551326089933</v>
      </c>
      <c r="K75" s="51">
        <f t="shared" si="76"/>
        <v>75.718459282622007</v>
      </c>
      <c r="L75" s="51">
        <f t="shared" si="80"/>
        <v>92.686248970768887</v>
      </c>
      <c r="U75" s="76">
        <f t="shared" si="52"/>
        <v>9.8384795913671719E-2</v>
      </c>
      <c r="V75" s="76">
        <f t="shared" si="53"/>
        <v>0.11430675072477106</v>
      </c>
      <c r="W75" s="76">
        <f t="shared" si="54"/>
        <v>5.0710965901247067E-2</v>
      </c>
      <c r="X75" s="76">
        <f t="shared" si="55"/>
        <v>1.1780405871796051E-2</v>
      </c>
      <c r="Y75" s="76">
        <f t="shared" si="56"/>
        <v>0.6217845474207353</v>
      </c>
      <c r="Z75" s="76">
        <f t="shared" si="57"/>
        <v>6.2169251299986197E-2</v>
      </c>
      <c r="AA75" s="76">
        <f t="shared" si="58"/>
        <v>1.1274216556992315E-2</v>
      </c>
      <c r="AB75" s="76">
        <f t="shared" si="59"/>
        <v>2.958906631080024E-2</v>
      </c>
      <c r="AC75" s="76">
        <f t="shared" si="60"/>
        <v>0</v>
      </c>
      <c r="AE75" s="76">
        <f t="shared" si="61"/>
        <v>24.297327893788683</v>
      </c>
      <c r="AF75" s="76">
        <f t="shared" si="62"/>
        <v>25.457830508467723</v>
      </c>
      <c r="AG75" s="76">
        <f t="shared" si="73"/>
        <v>88.427137858680936</v>
      </c>
      <c r="AH75" s="76">
        <f t="shared" si="63"/>
        <v>93.003301017379812</v>
      </c>
      <c r="AI75" s="76">
        <f t="shared" si="64"/>
        <v>136.89733927933156</v>
      </c>
      <c r="AJ75" s="76">
        <f t="shared" si="65"/>
        <v>62.582714916696439</v>
      </c>
      <c r="AK75" s="76">
        <f t="shared" si="77"/>
        <v>67.276360326889403</v>
      </c>
      <c r="AL75" s="76">
        <f t="shared" si="66"/>
        <v>53.411268750055655</v>
      </c>
      <c r="AM75" s="76"/>
      <c r="AN75" s="76"/>
      <c r="AO75" s="76">
        <f t="shared" si="67"/>
        <v>4.9081726354453625E-2</v>
      </c>
      <c r="AP75" s="76">
        <f t="shared" si="68"/>
        <v>1.2018463146282694E-2</v>
      </c>
      <c r="AQ75" s="76">
        <f t="shared" si="74"/>
        <v>0.16391491893499927</v>
      </c>
      <c r="AR75" s="76">
        <f t="shared" si="69"/>
        <v>4.7940074906367043E-2</v>
      </c>
      <c r="AS75" s="76">
        <f t="shared" si="70"/>
        <v>3.5068777575914871</v>
      </c>
      <c r="AT75" s="76">
        <f t="shared" si="71"/>
        <v>5.9964491788726142E-2</v>
      </c>
      <c r="AU75" s="76">
        <f t="shared" si="78"/>
        <v>1.9883135854569065E-2</v>
      </c>
      <c r="AV75" s="76">
        <f t="shared" si="72"/>
        <v>4.062164381830817E-2</v>
      </c>
      <c r="AW75" s="76"/>
      <c r="AY75" s="97">
        <v>2138</v>
      </c>
      <c r="AZ75" s="97">
        <v>2484</v>
      </c>
      <c r="BA75" s="97">
        <v>1102</v>
      </c>
      <c r="BB75" s="97">
        <v>256</v>
      </c>
      <c r="BC75" s="97">
        <v>13512</v>
      </c>
      <c r="BD75" s="97">
        <v>1351</v>
      </c>
      <c r="BE75" s="97">
        <v>245</v>
      </c>
      <c r="BF75" s="97">
        <v>643</v>
      </c>
      <c r="BG75" s="97"/>
      <c r="BI75" s="99">
        <v>43560</v>
      </c>
      <c r="BJ75" s="99">
        <v>206682</v>
      </c>
      <c r="BK75" s="99">
        <v>6723</v>
      </c>
      <c r="BL75" s="99">
        <v>5340</v>
      </c>
      <c r="BM75" s="99">
        <v>3853</v>
      </c>
      <c r="BN75" s="99">
        <v>22530</v>
      </c>
      <c r="BO75" s="99">
        <v>12322</v>
      </c>
      <c r="BP75" s="99">
        <v>15829</v>
      </c>
      <c r="BQ75" s="101"/>
    </row>
    <row r="76" spans="1:69">
      <c r="A76" s="4">
        <v>1876</v>
      </c>
      <c r="B76" s="95">
        <f t="shared" si="79"/>
        <v>98.236861205336936</v>
      </c>
      <c r="K76" s="51">
        <f t="shared" si="76"/>
        <v>80.329614909905786</v>
      </c>
      <c r="L76" s="51">
        <f t="shared" si="80"/>
        <v>101.51145618580293</v>
      </c>
      <c r="U76" s="76">
        <f t="shared" si="52"/>
        <v>6.1200237670825906E-2</v>
      </c>
      <c r="V76" s="76">
        <f t="shared" si="53"/>
        <v>7.8877005347593579E-2</v>
      </c>
      <c r="W76" s="76">
        <f t="shared" si="54"/>
        <v>5.6793424440483263E-2</v>
      </c>
      <c r="X76" s="76">
        <f t="shared" si="55"/>
        <v>1.5399088928500693E-2</v>
      </c>
      <c r="Y76" s="76">
        <f t="shared" si="56"/>
        <v>0.66419092889681119</v>
      </c>
      <c r="Z76" s="76">
        <f t="shared" si="57"/>
        <v>6.6745890275302033E-2</v>
      </c>
      <c r="AA76" s="76">
        <f t="shared" si="58"/>
        <v>1.3814616755793227E-2</v>
      </c>
      <c r="AB76" s="76">
        <f t="shared" si="59"/>
        <v>4.2978807684690035E-2</v>
      </c>
      <c r="AC76" s="76">
        <f t="shared" si="60"/>
        <v>0</v>
      </c>
      <c r="AE76" s="76">
        <f t="shared" si="61"/>
        <v>22.027835099993489</v>
      </c>
      <c r="AF76" s="76">
        <f t="shared" si="62"/>
        <v>27.642851689361404</v>
      </c>
      <c r="AG76" s="76">
        <f t="shared" si="73"/>
        <v>90.463711387857671</v>
      </c>
      <c r="AH76" s="76">
        <f t="shared" si="63"/>
        <v>116.81260749304465</v>
      </c>
      <c r="AI76" s="76">
        <f t="shared" si="64"/>
        <v>153.69528627664212</v>
      </c>
      <c r="AJ76" s="76">
        <f t="shared" si="65"/>
        <v>61.183681760338025</v>
      </c>
      <c r="AK76" s="76">
        <f t="shared" si="77"/>
        <v>66.517850825263096</v>
      </c>
      <c r="AL76" s="76">
        <f t="shared" si="66"/>
        <v>55.396935794237287</v>
      </c>
      <c r="AM76" s="76"/>
      <c r="AN76" s="76"/>
      <c r="AO76" s="76">
        <f t="shared" si="67"/>
        <v>4.4497245922885842E-2</v>
      </c>
      <c r="AP76" s="76">
        <f t="shared" si="68"/>
        <v>1.3049996313560363E-2</v>
      </c>
      <c r="AQ76" s="76">
        <f t="shared" si="74"/>
        <v>0.16769005847953217</v>
      </c>
      <c r="AR76" s="76">
        <f t="shared" si="69"/>
        <v>6.0212971926427883E-2</v>
      </c>
      <c r="AS76" s="76">
        <f t="shared" si="70"/>
        <v>3.9371881420604637</v>
      </c>
      <c r="AT76" s="76">
        <f t="shared" si="71"/>
        <v>5.862398886666087E-2</v>
      </c>
      <c r="AU76" s="76">
        <f t="shared" si="78"/>
        <v>1.9658962795941374E-2</v>
      </c>
      <c r="AV76" s="76">
        <f t="shared" si="72"/>
        <v>4.2131831860984369E-2</v>
      </c>
      <c r="AW76" s="76"/>
      <c r="AY76" s="97">
        <v>1236</v>
      </c>
      <c r="AZ76" s="97">
        <v>1593</v>
      </c>
      <c r="BA76" s="97">
        <v>1147</v>
      </c>
      <c r="BB76" s="97">
        <v>311</v>
      </c>
      <c r="BC76" s="97">
        <v>13414</v>
      </c>
      <c r="BD76" s="97">
        <v>1348</v>
      </c>
      <c r="BE76" s="97">
        <v>279</v>
      </c>
      <c r="BF76" s="97">
        <v>868</v>
      </c>
      <c r="BG76" s="97"/>
      <c r="BI76" s="99">
        <v>27777</v>
      </c>
      <c r="BJ76" s="99">
        <v>122069</v>
      </c>
      <c r="BK76" s="99">
        <v>6840</v>
      </c>
      <c r="BL76" s="99">
        <v>5165</v>
      </c>
      <c r="BM76" s="99">
        <v>3407</v>
      </c>
      <c r="BN76" s="99">
        <v>22994</v>
      </c>
      <c r="BO76" s="99">
        <v>14192</v>
      </c>
      <c r="BP76" s="99">
        <v>20602</v>
      </c>
      <c r="BQ76" s="101"/>
    </row>
    <row r="77" spans="1:69">
      <c r="A77" s="4">
        <v>1877</v>
      </c>
      <c r="B77" s="95">
        <f t="shared" si="79"/>
        <v>89.245285440849017</v>
      </c>
      <c r="K77" s="51">
        <f t="shared" si="76"/>
        <v>73.006057041994168</v>
      </c>
      <c r="L77" s="51">
        <f t="shared" si="80"/>
        <v>92.183556556904207</v>
      </c>
      <c r="U77" s="76">
        <f t="shared" si="52"/>
        <v>6.434941224158898E-2</v>
      </c>
      <c r="V77" s="76">
        <f t="shared" si="53"/>
        <v>0.16001216051884881</v>
      </c>
      <c r="W77" s="76">
        <f t="shared" si="54"/>
        <v>5.8826509931090391E-2</v>
      </c>
      <c r="X77" s="76">
        <f t="shared" si="55"/>
        <v>1.8342115930279693E-2</v>
      </c>
      <c r="Y77" s="76">
        <f t="shared" si="56"/>
        <v>0.5954600729631131</v>
      </c>
      <c r="Z77" s="76">
        <f t="shared" si="57"/>
        <v>5.3658289420348601E-2</v>
      </c>
      <c r="AA77" s="76">
        <f t="shared" si="58"/>
        <v>1.2717875962707742E-2</v>
      </c>
      <c r="AB77" s="76">
        <f t="shared" si="59"/>
        <v>3.6633563032022698E-2</v>
      </c>
      <c r="AC77" s="76">
        <f t="shared" si="60"/>
        <v>0</v>
      </c>
      <c r="AE77" s="76">
        <f t="shared" si="61"/>
        <v>20.367981121665299</v>
      </c>
      <c r="AF77" s="76">
        <f t="shared" si="62"/>
        <v>36.578466268893209</v>
      </c>
      <c r="AG77" s="76">
        <f t="shared" si="73"/>
        <v>83.509914957478728</v>
      </c>
      <c r="AH77" s="76">
        <f t="shared" si="63"/>
        <v>120.52113352354648</v>
      </c>
      <c r="AI77" s="76">
        <f t="shared" si="64"/>
        <v>129.11923820068426</v>
      </c>
      <c r="AJ77" s="76">
        <f t="shared" si="65"/>
        <v>51.791893280845379</v>
      </c>
      <c r="AK77" s="76">
        <f t="shared" si="77"/>
        <v>59.084516913739016</v>
      </c>
      <c r="AL77" s="76">
        <f t="shared" si="66"/>
        <v>49.925674956404393</v>
      </c>
      <c r="AM77" s="76"/>
      <c r="AN77" s="76"/>
      <c r="AO77" s="76">
        <f t="shared" si="67"/>
        <v>4.1144264100819644E-2</v>
      </c>
      <c r="AP77" s="76">
        <f t="shared" si="68"/>
        <v>1.7268437255641769E-2</v>
      </c>
      <c r="AQ77" s="76">
        <f t="shared" si="74"/>
        <v>0.15479999999999999</v>
      </c>
      <c r="AR77" s="76">
        <f t="shared" si="69"/>
        <v>6.2124592414621586E-2</v>
      </c>
      <c r="AS77" s="76">
        <f t="shared" si="70"/>
        <v>3.3076273571629611</v>
      </c>
      <c r="AT77" s="76">
        <f t="shared" si="71"/>
        <v>4.9625117150890345E-2</v>
      </c>
      <c r="AU77" s="76">
        <f t="shared" si="78"/>
        <v>1.7462084318909141E-2</v>
      </c>
      <c r="AV77" s="76">
        <f t="shared" si="72"/>
        <v>3.7970694816448713E-2</v>
      </c>
      <c r="AW77" s="76"/>
      <c r="AY77" s="97">
        <v>1270</v>
      </c>
      <c r="AZ77" s="97">
        <v>3158</v>
      </c>
      <c r="BA77" s="97">
        <v>1161</v>
      </c>
      <c r="BB77" s="97">
        <v>362</v>
      </c>
      <c r="BC77" s="97">
        <v>11752</v>
      </c>
      <c r="BD77" s="97">
        <v>1059</v>
      </c>
      <c r="BE77" s="97">
        <v>251</v>
      </c>
      <c r="BF77" s="97">
        <v>723</v>
      </c>
      <c r="BG77" s="97"/>
      <c r="BI77" s="99">
        <v>30867</v>
      </c>
      <c r="BJ77" s="99">
        <v>182877</v>
      </c>
      <c r="BK77" s="99">
        <v>7500</v>
      </c>
      <c r="BL77" s="99">
        <v>5827</v>
      </c>
      <c r="BM77" s="99">
        <v>3553</v>
      </c>
      <c r="BN77" s="99">
        <v>21340</v>
      </c>
      <c r="BO77" s="99">
        <v>14374</v>
      </c>
      <c r="BP77" s="99">
        <v>19041</v>
      </c>
      <c r="BQ77" s="101"/>
    </row>
    <row r="78" spans="1:69">
      <c r="A78" s="4">
        <v>1878</v>
      </c>
      <c r="B78" s="95">
        <f t="shared" si="79"/>
        <v>81.312139787376168</v>
      </c>
      <c r="K78" s="51">
        <f t="shared" si="76"/>
        <v>66.942308557601606</v>
      </c>
      <c r="L78" s="51">
        <f t="shared" si="80"/>
        <v>83.454907866523826</v>
      </c>
      <c r="U78" s="76">
        <f t="shared" si="52"/>
        <v>3.9066407335370937E-2</v>
      </c>
      <c r="V78" s="76">
        <f t="shared" si="53"/>
        <v>0.15270908585718254</v>
      </c>
      <c r="W78" s="76">
        <f t="shared" si="54"/>
        <v>6.6740761322589603E-2</v>
      </c>
      <c r="X78" s="76">
        <f t="shared" si="55"/>
        <v>1.5837732703528756E-2</v>
      </c>
      <c r="Y78" s="76">
        <f t="shared" si="56"/>
        <v>0.62789663795498751</v>
      </c>
      <c r="Z78" s="76">
        <f t="shared" si="57"/>
        <v>3.9622117254792998E-2</v>
      </c>
      <c r="AA78" s="76">
        <f t="shared" si="58"/>
        <v>1.8782995276465684E-2</v>
      </c>
      <c r="AB78" s="76">
        <f t="shared" si="59"/>
        <v>3.9344262295081971E-2</v>
      </c>
      <c r="AC78" s="76">
        <f t="shared" si="60"/>
        <v>0</v>
      </c>
      <c r="AE78" s="76">
        <f t="shared" si="61"/>
        <v>19.601883072043975</v>
      </c>
      <c r="AF78" s="76">
        <f t="shared" si="62"/>
        <v>34.132293466345196</v>
      </c>
      <c r="AG78" s="76">
        <f t="shared" si="73"/>
        <v>70.793613590011788</v>
      </c>
      <c r="AH78" s="76">
        <f t="shared" si="63"/>
        <v>119.1589135054808</v>
      </c>
      <c r="AI78" s="76">
        <f t="shared" si="64"/>
        <v>114.77412854518857</v>
      </c>
      <c r="AJ78" s="76">
        <f t="shared" si="65"/>
        <v>45.736425444748782</v>
      </c>
      <c r="AK78" s="76">
        <f t="shared" si="77"/>
        <v>90.751713345922013</v>
      </c>
      <c r="AL78" s="76">
        <f t="shared" si="66"/>
        <v>47.923400959194154</v>
      </c>
      <c r="AM78" s="76"/>
      <c r="AN78" s="76"/>
      <c r="AO78" s="76">
        <f t="shared" si="67"/>
        <v>3.9596710600428076E-2</v>
      </c>
      <c r="AP78" s="76">
        <f t="shared" si="68"/>
        <v>1.6113616240273486E-2</v>
      </c>
      <c r="AQ78" s="76">
        <f t="shared" si="74"/>
        <v>0.13122814685314685</v>
      </c>
      <c r="AR78" s="76">
        <f t="shared" si="69"/>
        <v>6.1422413793103446E-2</v>
      </c>
      <c r="AS78" s="76">
        <f t="shared" si="70"/>
        <v>2.9401509237574812</v>
      </c>
      <c r="AT78" s="76">
        <f t="shared" si="71"/>
        <v>4.3822987092808852E-2</v>
      </c>
      <c r="AU78" s="76">
        <f t="shared" si="78"/>
        <v>2.6821139501666404E-2</v>
      </c>
      <c r="AV78" s="76">
        <f t="shared" si="72"/>
        <v>3.6447876447876448E-2</v>
      </c>
      <c r="AW78" s="76"/>
      <c r="AY78" s="97">
        <v>703</v>
      </c>
      <c r="AZ78" s="97">
        <v>2748</v>
      </c>
      <c r="BA78" s="97">
        <v>1201</v>
      </c>
      <c r="BB78" s="97">
        <v>285</v>
      </c>
      <c r="BC78" s="97">
        <v>11299</v>
      </c>
      <c r="BD78" s="97">
        <v>713</v>
      </c>
      <c r="BE78" s="97">
        <v>338</v>
      </c>
      <c r="BF78" s="97">
        <v>708</v>
      </c>
      <c r="BG78" s="97"/>
      <c r="BI78" s="99">
        <v>17754</v>
      </c>
      <c r="BJ78" s="99">
        <v>170539</v>
      </c>
      <c r="BK78" s="99">
        <v>9152</v>
      </c>
      <c r="BL78" s="99">
        <v>4640</v>
      </c>
      <c r="BM78" s="99">
        <v>3843</v>
      </c>
      <c r="BN78" s="99">
        <v>16270</v>
      </c>
      <c r="BO78" s="99">
        <v>12602</v>
      </c>
      <c r="BP78" s="99">
        <v>19425</v>
      </c>
      <c r="BQ78" s="101"/>
    </row>
    <row r="79" spans="1:69">
      <c r="A79" s="4">
        <v>1879</v>
      </c>
      <c r="B79" s="95">
        <f t="shared" si="79"/>
        <v>72.969641401133245</v>
      </c>
      <c r="K79" s="51">
        <f t="shared" si="76"/>
        <v>60.160864147586075</v>
      </c>
      <c r="L79" s="51">
        <f t="shared" si="80"/>
        <v>74.784594897269017</v>
      </c>
      <c r="U79" s="76">
        <f t="shared" si="52"/>
        <v>4.9794931117888318E-2</v>
      </c>
      <c r="V79" s="76">
        <f t="shared" si="53"/>
        <v>0.10963297928278473</v>
      </c>
      <c r="W79" s="76">
        <f t="shared" si="54"/>
        <v>5.6893469344831214E-2</v>
      </c>
      <c r="X79" s="76">
        <f t="shared" si="55"/>
        <v>1.5669365863918393E-2</v>
      </c>
      <c r="Y79" s="76">
        <f t="shared" si="56"/>
        <v>0.67373015038384687</v>
      </c>
      <c r="Z79" s="76">
        <f t="shared" si="57"/>
        <v>4.4536754653486173E-2</v>
      </c>
      <c r="AA79" s="76">
        <f t="shared" si="58"/>
        <v>1.3671258807445578E-2</v>
      </c>
      <c r="AB79" s="76">
        <f t="shared" si="59"/>
        <v>3.6071090545798719E-2</v>
      </c>
      <c r="AC79" s="76">
        <f t="shared" si="60"/>
        <v>0</v>
      </c>
      <c r="AE79" s="76">
        <f t="shared" si="61"/>
        <v>18.393735827604971</v>
      </c>
      <c r="AF79" s="76">
        <f t="shared" si="62"/>
        <v>30.073287388823665</v>
      </c>
      <c r="AG79" s="76">
        <f t="shared" si="73"/>
        <v>73.849475344959927</v>
      </c>
      <c r="AH79" s="76">
        <f t="shared" si="63"/>
        <v>114.11710189172982</v>
      </c>
      <c r="AI79" s="76">
        <f t="shared" si="64"/>
        <v>101.9940282123242</v>
      </c>
      <c r="AJ79" s="76">
        <f t="shared" si="65"/>
        <v>38.30577932626403</v>
      </c>
      <c r="AK79" s="76">
        <f t="shared" si="77"/>
        <v>64.111146142932142</v>
      </c>
      <c r="AL79" s="76">
        <f t="shared" si="66"/>
        <v>45.369217724826392</v>
      </c>
      <c r="AM79" s="76"/>
      <c r="AN79" s="76"/>
      <c r="AO79" s="76">
        <f t="shared" si="67"/>
        <v>3.7156197277043196E-2</v>
      </c>
      <c r="AP79" s="76">
        <f t="shared" si="68"/>
        <v>1.4197387952988602E-2</v>
      </c>
      <c r="AQ79" s="76">
        <f t="shared" si="74"/>
        <v>0.13689271255060728</v>
      </c>
      <c r="AR79" s="76">
        <f t="shared" si="69"/>
        <v>5.8823529411764705E-2</v>
      </c>
      <c r="AS79" s="76">
        <f t="shared" si="70"/>
        <v>2.6127650897226755</v>
      </c>
      <c r="AT79" s="76">
        <f t="shared" si="71"/>
        <v>3.67032109892967E-2</v>
      </c>
      <c r="AU79" s="76">
        <f t="shared" si="78"/>
        <v>1.8947675265996212E-2</v>
      </c>
      <c r="AV79" s="76">
        <f t="shared" si="72"/>
        <v>3.450530657411599E-2</v>
      </c>
      <c r="AW79" s="76"/>
      <c r="AY79" s="97">
        <v>947</v>
      </c>
      <c r="AZ79" s="97">
        <v>2085</v>
      </c>
      <c r="BA79" s="97">
        <v>1082</v>
      </c>
      <c r="BB79" s="97">
        <v>298</v>
      </c>
      <c r="BC79" s="97">
        <v>12813</v>
      </c>
      <c r="BD79" s="97">
        <v>847</v>
      </c>
      <c r="BE79" s="97">
        <v>260</v>
      </c>
      <c r="BF79" s="97">
        <v>686</v>
      </c>
      <c r="BG79" s="97"/>
      <c r="BI79" s="99">
        <v>25487</v>
      </c>
      <c r="BJ79" s="99">
        <v>146858</v>
      </c>
      <c r="BK79" s="99">
        <v>7904</v>
      </c>
      <c r="BL79" s="99">
        <v>5066</v>
      </c>
      <c r="BM79" s="99">
        <v>4904</v>
      </c>
      <c r="BN79" s="99">
        <v>23077</v>
      </c>
      <c r="BO79" s="99">
        <v>13722</v>
      </c>
      <c r="BP79" s="99">
        <v>19881</v>
      </c>
      <c r="BQ79" s="101"/>
    </row>
    <row r="80" spans="1:69">
      <c r="A80" s="4">
        <v>1880</v>
      </c>
      <c r="B80" s="95">
        <f t="shared" si="79"/>
        <v>95.835415117859355</v>
      </c>
      <c r="K80" s="51">
        <f t="shared" si="76"/>
        <v>76.831298724279591</v>
      </c>
      <c r="L80" s="51">
        <f t="shared" si="80"/>
        <v>101.00797620255285</v>
      </c>
      <c r="M80" s="51"/>
      <c r="U80" s="76">
        <f t="shared" si="52"/>
        <v>2.629332422742018E-2</v>
      </c>
      <c r="V80" s="76">
        <f t="shared" si="53"/>
        <v>0.15872744863695862</v>
      </c>
      <c r="W80" s="76">
        <f t="shared" si="54"/>
        <v>6.2034033350406921E-2</v>
      </c>
      <c r="X80" s="76">
        <f t="shared" si="55"/>
        <v>1.6390643674235959E-2</v>
      </c>
      <c r="Y80" s="76">
        <f t="shared" si="56"/>
        <v>0.63951966308121333</v>
      </c>
      <c r="Z80" s="76">
        <f t="shared" si="57"/>
        <v>4.5472653804564341E-2</v>
      </c>
      <c r="AA80" s="76">
        <f t="shared" si="58"/>
        <v>1.2748278413294633E-2</v>
      </c>
      <c r="AB80" s="76">
        <f t="shared" si="59"/>
        <v>3.8813954811905985E-2</v>
      </c>
      <c r="AC80" s="76">
        <f t="shared" si="60"/>
        <v>0</v>
      </c>
      <c r="AE80" s="76">
        <f t="shared" si="61"/>
        <v>20.139805705159063</v>
      </c>
      <c r="AF80" s="76">
        <f t="shared" si="62"/>
        <v>27.292373653900597</v>
      </c>
      <c r="AG80" s="76">
        <f t="shared" si="73"/>
        <v>71.841418571228189</v>
      </c>
      <c r="AH80" s="76">
        <f t="shared" si="63"/>
        <v>112.37275359249983</v>
      </c>
      <c r="AI80" s="76">
        <f t="shared" si="64"/>
        <v>167.55412278494052</v>
      </c>
      <c r="AJ80" s="76">
        <f t="shared" si="65"/>
        <v>33.00691302631666</v>
      </c>
      <c r="AK80" s="76">
        <f t="shared" si="77"/>
        <v>53.891065298094013</v>
      </c>
      <c r="AL80" s="76">
        <f t="shared" si="66"/>
        <v>39.783763416027519</v>
      </c>
      <c r="AM80" s="76"/>
      <c r="AN80" s="76"/>
      <c r="AO80" s="76">
        <f t="shared" si="67"/>
        <v>4.0683339203945054E-2</v>
      </c>
      <c r="AP80" s="76">
        <f t="shared" si="68"/>
        <v>1.288453809231224E-2</v>
      </c>
      <c r="AQ80" s="76">
        <f t="shared" si="74"/>
        <v>0.13317043372021992</v>
      </c>
      <c r="AR80" s="76">
        <f t="shared" si="69"/>
        <v>5.7924376508447305E-2</v>
      </c>
      <c r="AS80" s="76">
        <f t="shared" si="70"/>
        <v>4.2922077922077921</v>
      </c>
      <c r="AT80" s="76">
        <f t="shared" si="71"/>
        <v>3.1626029132362253E-2</v>
      </c>
      <c r="AU80" s="76">
        <f t="shared" si="78"/>
        <v>1.5927189988623434E-2</v>
      </c>
      <c r="AV80" s="76">
        <f t="shared" si="72"/>
        <v>3.025732031943212E-2</v>
      </c>
      <c r="AW80" s="76"/>
      <c r="AY80" s="97">
        <v>462</v>
      </c>
      <c r="AZ80" s="97">
        <v>2789</v>
      </c>
      <c r="BA80" s="97">
        <v>1090</v>
      </c>
      <c r="BB80" s="97">
        <v>288</v>
      </c>
      <c r="BC80" s="97">
        <v>11237</v>
      </c>
      <c r="BD80" s="97">
        <v>799</v>
      </c>
      <c r="BE80" s="97">
        <v>224</v>
      </c>
      <c r="BF80" s="97">
        <v>682</v>
      </c>
      <c r="BG80" s="97"/>
      <c r="BI80" s="99">
        <v>11356</v>
      </c>
      <c r="BJ80" s="99">
        <v>216461</v>
      </c>
      <c r="BK80" s="99">
        <v>8185</v>
      </c>
      <c r="BL80" s="99">
        <v>4972</v>
      </c>
      <c r="BM80" s="99">
        <v>2618</v>
      </c>
      <c r="BN80" s="99">
        <v>25264</v>
      </c>
      <c r="BO80" s="99">
        <v>14064</v>
      </c>
      <c r="BP80" s="99">
        <v>22540</v>
      </c>
      <c r="BQ80" s="101"/>
    </row>
    <row r="81" spans="1:69">
      <c r="A81" s="4">
        <v>1881</v>
      </c>
      <c r="B81" s="95">
        <f t="shared" ref="B81:B90" si="81">(GEOMEAN(L81:M81)/GEOMEAN(L$91:M$91))*B$91</f>
        <v>78.513315984851189</v>
      </c>
      <c r="K81" s="51">
        <f t="shared" si="76"/>
        <v>63.855431915111929</v>
      </c>
      <c r="L81" s="51">
        <f t="shared" si="80"/>
        <v>81.570022216152822</v>
      </c>
      <c r="M81" s="51">
        <f t="shared" ref="M81:M101" si="82">(AF81^V$12)*(AH81^X$12)*(AI81^Y$12)*(AJ81^Z$12)*(AL81^AB$12)*(AG81^W$12)*(AK81^AA$12)*(AE81^U$12)</f>
        <v>82.377588667139293</v>
      </c>
      <c r="U81" s="76">
        <f t="shared" si="52"/>
        <v>2.6772011595520947E-2</v>
      </c>
      <c r="V81" s="76">
        <f t="shared" si="53"/>
        <v>0.13562212243505939</v>
      </c>
      <c r="W81" s="76">
        <f t="shared" si="54"/>
        <v>6.2013300744614336E-2</v>
      </c>
      <c r="X81" s="76">
        <f t="shared" si="55"/>
        <v>1.9098505087250611E-2</v>
      </c>
      <c r="Y81" s="76">
        <f t="shared" si="56"/>
        <v>0.65958051497754788</v>
      </c>
      <c r="Z81" s="76">
        <f t="shared" si="57"/>
        <v>4.3255840391064629E-2</v>
      </c>
      <c r="AA81" s="76">
        <f t="shared" si="58"/>
        <v>1.4153356448587506E-2</v>
      </c>
      <c r="AB81" s="76">
        <f t="shared" si="59"/>
        <v>3.9504348320354689E-2</v>
      </c>
      <c r="AC81" s="76">
        <f t="shared" si="60"/>
        <v>0</v>
      </c>
      <c r="AE81" s="76">
        <f t="shared" si="61"/>
        <v>18.331863912197235</v>
      </c>
      <c r="AF81" s="76">
        <f t="shared" si="62"/>
        <v>31.34163328683147</v>
      </c>
      <c r="AG81" s="76">
        <f t="shared" si="73"/>
        <v>38.375267701660704</v>
      </c>
      <c r="AH81" s="76">
        <f t="shared" si="63"/>
        <v>95.787933285166901</v>
      </c>
      <c r="AI81" s="76">
        <f t="shared" si="64"/>
        <v>123.76590291355755</v>
      </c>
      <c r="AJ81" s="76">
        <f t="shared" si="65"/>
        <v>36.877348785875178</v>
      </c>
      <c r="AK81" s="76">
        <f t="shared" si="77"/>
        <v>59.02022193074373</v>
      </c>
      <c r="AL81" s="76">
        <f t="shared" si="66"/>
        <v>45.920555050995141</v>
      </c>
      <c r="AM81" s="76"/>
      <c r="AN81" s="76"/>
      <c r="AO81" s="76">
        <f t="shared" si="67"/>
        <v>3.7031213145687553E-2</v>
      </c>
      <c r="AP81" s="76">
        <f t="shared" si="68"/>
        <v>1.4796165151496361E-2</v>
      </c>
      <c r="AQ81" s="76">
        <f t="shared" si="74"/>
        <v>7.1135163330507928E-2</v>
      </c>
      <c r="AR81" s="76">
        <f t="shared" si="69"/>
        <v>4.9375459221160913E-2</v>
      </c>
      <c r="AS81" s="76">
        <f t="shared" si="70"/>
        <v>3.1704918032786886</v>
      </c>
      <c r="AT81" s="76">
        <f t="shared" si="71"/>
        <v>3.5334540558109299E-2</v>
      </c>
      <c r="AU81" s="76">
        <f t="shared" si="78"/>
        <v>1.7443082311733801E-2</v>
      </c>
      <c r="AV81" s="76">
        <f t="shared" si="72"/>
        <v>3.4924623115577889E-2</v>
      </c>
      <c r="AW81" s="76"/>
      <c r="AY81" s="97">
        <v>471</v>
      </c>
      <c r="AZ81" s="97">
        <v>2386</v>
      </c>
      <c r="BA81" s="97">
        <v>1091</v>
      </c>
      <c r="BB81" s="97">
        <v>336</v>
      </c>
      <c r="BC81" s="97">
        <v>11604</v>
      </c>
      <c r="BD81" s="97">
        <v>761</v>
      </c>
      <c r="BE81" s="97">
        <v>249</v>
      </c>
      <c r="BF81" s="97">
        <v>695</v>
      </c>
      <c r="BG81" s="97"/>
      <c r="BI81" s="99">
        <v>12719</v>
      </c>
      <c r="BJ81" s="99">
        <v>161258</v>
      </c>
      <c r="BK81" s="99">
        <v>15337</v>
      </c>
      <c r="BL81" s="99">
        <v>6805</v>
      </c>
      <c r="BM81" s="99">
        <v>3660</v>
      </c>
      <c r="BN81" s="99">
        <v>21537</v>
      </c>
      <c r="BO81" s="99">
        <v>14275</v>
      </c>
      <c r="BP81" s="99">
        <v>19900</v>
      </c>
      <c r="BQ81" s="101"/>
    </row>
    <row r="82" spans="1:69">
      <c r="A82" s="4">
        <v>1882</v>
      </c>
      <c r="B82" s="95">
        <f t="shared" si="81"/>
        <v>62.718823304749328</v>
      </c>
      <c r="L82" s="51">
        <f t="shared" si="80"/>
        <v>65.258714057823582</v>
      </c>
      <c r="M82" s="51">
        <f t="shared" si="82"/>
        <v>65.706798582813633</v>
      </c>
      <c r="U82" s="76">
        <f t="shared" si="52"/>
        <v>5.2053175775480062E-2</v>
      </c>
      <c r="V82" s="76">
        <f t="shared" si="53"/>
        <v>0.19639586410635154</v>
      </c>
      <c r="W82" s="76">
        <f t="shared" si="54"/>
        <v>6.4697193500738548E-2</v>
      </c>
      <c r="X82" s="76">
        <f t="shared" si="55"/>
        <v>2.2688330871491875E-2</v>
      </c>
      <c r="Y82" s="76">
        <f t="shared" si="56"/>
        <v>0.56443131462333829</v>
      </c>
      <c r="Z82" s="76">
        <f t="shared" si="57"/>
        <v>4.2540620384047267E-2</v>
      </c>
      <c r="AA82" s="76">
        <f t="shared" si="58"/>
        <v>1.4534711964549482E-2</v>
      </c>
      <c r="AB82" s="76">
        <f t="shared" si="59"/>
        <v>4.2658788774002955E-2</v>
      </c>
      <c r="AC82" s="76">
        <f t="shared" si="60"/>
        <v>0</v>
      </c>
      <c r="AE82" s="76">
        <f t="shared" si="61"/>
        <v>19.900010310010881</v>
      </c>
      <c r="AF82" s="76">
        <f t="shared" si="62"/>
        <v>28.532699899821466</v>
      </c>
      <c r="AG82" s="76">
        <f t="shared" si="73"/>
        <v>34.621929415065047</v>
      </c>
      <c r="AH82" s="76">
        <f t="shared" si="63"/>
        <v>99.31428358208403</v>
      </c>
      <c r="AI82" s="76">
        <f t="shared" si="64"/>
        <v>91.379244424658836</v>
      </c>
      <c r="AJ82" s="76">
        <f t="shared" si="65"/>
        <v>37.117178672756985</v>
      </c>
      <c r="AK82" s="76">
        <f t="shared" si="77"/>
        <v>52.175948158734407</v>
      </c>
      <c r="AL82" s="76">
        <f t="shared" si="66"/>
        <v>40.14547000877036</v>
      </c>
      <c r="AM82" s="76"/>
      <c r="AN82" s="76"/>
      <c r="AO82" s="76">
        <f t="shared" si="67"/>
        <v>4.0198941412666542E-2</v>
      </c>
      <c r="AP82" s="76">
        <f t="shared" si="68"/>
        <v>1.347008740968274E-2</v>
      </c>
      <c r="AQ82" s="76">
        <f t="shared" si="74"/>
        <v>6.4177704841167513E-2</v>
      </c>
      <c r="AR82" s="76">
        <f t="shared" si="69"/>
        <v>5.1193174243434211E-2</v>
      </c>
      <c r="AS82" s="76">
        <f t="shared" si="70"/>
        <v>2.340847831413869</v>
      </c>
      <c r="AT82" s="76">
        <f t="shared" si="71"/>
        <v>3.5564336873302051E-2</v>
      </c>
      <c r="AU82" s="76">
        <f t="shared" si="78"/>
        <v>1.5420297122798219E-2</v>
      </c>
      <c r="AV82" s="76">
        <f t="shared" si="72"/>
        <v>3.0532414259736965E-2</v>
      </c>
      <c r="AW82" s="76"/>
      <c r="AY82" s="97">
        <v>881</v>
      </c>
      <c r="AZ82" s="97">
        <v>3324</v>
      </c>
      <c r="BA82" s="97">
        <v>1095</v>
      </c>
      <c r="BB82" s="97">
        <v>384</v>
      </c>
      <c r="BC82" s="97">
        <v>9553</v>
      </c>
      <c r="BD82" s="97">
        <v>720</v>
      </c>
      <c r="BE82" s="97">
        <v>246</v>
      </c>
      <c r="BF82" s="97">
        <v>722</v>
      </c>
      <c r="BG82" s="97"/>
      <c r="BI82" s="99">
        <v>21916</v>
      </c>
      <c r="BJ82" s="99">
        <v>246769</v>
      </c>
      <c r="BK82" s="99">
        <v>17062</v>
      </c>
      <c r="BL82" s="99">
        <v>7501</v>
      </c>
      <c r="BM82" s="99">
        <v>4081</v>
      </c>
      <c r="BN82" s="99">
        <v>20245</v>
      </c>
      <c r="BO82" s="99">
        <v>15953</v>
      </c>
      <c r="BP82" s="99">
        <v>23647</v>
      </c>
      <c r="BQ82" s="101"/>
    </row>
    <row r="83" spans="1:69">
      <c r="A83" s="4">
        <v>1883</v>
      </c>
      <c r="B83" s="95">
        <f t="shared" si="81"/>
        <v>48.064886330620936</v>
      </c>
      <c r="L83" s="51">
        <f t="shared" si="80"/>
        <v>49.763724552520266</v>
      </c>
      <c r="M83" s="51">
        <f t="shared" si="82"/>
        <v>50.60529692257689</v>
      </c>
      <c r="U83" s="76">
        <f t="shared" si="52"/>
        <v>6.6028592197722322E-2</v>
      </c>
      <c r="V83" s="76">
        <f t="shared" si="53"/>
        <v>0.12412163799370002</v>
      </c>
      <c r="W83" s="76">
        <f t="shared" si="54"/>
        <v>7.5781439302156528E-2</v>
      </c>
      <c r="X83" s="76">
        <f t="shared" si="55"/>
        <v>2.368548582505452E-2</v>
      </c>
      <c r="Y83" s="76">
        <f t="shared" si="56"/>
        <v>0.65525805669978188</v>
      </c>
      <c r="Z83" s="76">
        <f t="shared" si="57"/>
        <v>2.3322025684516599E-2</v>
      </c>
      <c r="AA83" s="76">
        <f t="shared" si="58"/>
        <v>5.6336321783377755E-3</v>
      </c>
      <c r="AB83" s="76">
        <f t="shared" si="59"/>
        <v>2.6169130118730313E-2</v>
      </c>
      <c r="AC83" s="76">
        <f t="shared" si="60"/>
        <v>0</v>
      </c>
      <c r="AE83" s="76">
        <f t="shared" si="61"/>
        <v>16.076019754310593</v>
      </c>
      <c r="AF83" s="76">
        <f t="shared" si="62"/>
        <v>24.294011783690582</v>
      </c>
      <c r="AG83" s="76">
        <f t="shared" si="73"/>
        <v>42.206168750416481</v>
      </c>
      <c r="AH83" s="76">
        <f t="shared" si="63"/>
        <v>112.15974808137337</v>
      </c>
      <c r="AI83" s="76">
        <f t="shared" si="64"/>
        <v>63.146587562102908</v>
      </c>
      <c r="AJ83" s="76">
        <f t="shared" si="65"/>
        <v>35.843908422358083</v>
      </c>
      <c r="AK83" s="76">
        <f t="shared" si="77"/>
        <v>49.26785339555002</v>
      </c>
      <c r="AL83" s="76">
        <f t="shared" si="66"/>
        <v>29.568669470142201</v>
      </c>
      <c r="AM83" s="76"/>
      <c r="AN83" s="76"/>
      <c r="AO83" s="76">
        <f t="shared" si="67"/>
        <v>3.2474303590049158E-2</v>
      </c>
      <c r="AP83" s="76">
        <f t="shared" si="68"/>
        <v>1.1469032492793373E-2</v>
      </c>
      <c r="AQ83" s="76">
        <f t="shared" si="74"/>
        <v>7.8236397748592867E-2</v>
      </c>
      <c r="AR83" s="76">
        <f t="shared" si="69"/>
        <v>5.781457932870028E-2</v>
      </c>
      <c r="AS83" s="76">
        <f t="shared" si="70"/>
        <v>1.6176162703753552</v>
      </c>
      <c r="AT83" s="76">
        <f t="shared" si="71"/>
        <v>3.4344335414808205E-2</v>
      </c>
      <c r="AU83" s="76">
        <f t="shared" si="78"/>
        <v>1.4560826679192109E-2</v>
      </c>
      <c r="AV83" s="76">
        <f t="shared" si="72"/>
        <v>2.2488287350338365E-2</v>
      </c>
      <c r="AW83" s="76"/>
      <c r="AY83" s="97">
        <v>1090</v>
      </c>
      <c r="AZ83" s="97">
        <v>2049</v>
      </c>
      <c r="BA83" s="97">
        <v>1251</v>
      </c>
      <c r="BB83" s="97">
        <v>391</v>
      </c>
      <c r="BC83" s="97">
        <v>10817</v>
      </c>
      <c r="BD83" s="97">
        <v>385</v>
      </c>
      <c r="BE83" s="97">
        <v>93</v>
      </c>
      <c r="BF83" s="97">
        <v>432</v>
      </c>
      <c r="BG83" s="97"/>
      <c r="BI83" s="99">
        <v>33565</v>
      </c>
      <c r="BJ83" s="99">
        <v>178655</v>
      </c>
      <c r="BK83" s="99">
        <v>15990</v>
      </c>
      <c r="BL83" s="99">
        <v>6763</v>
      </c>
      <c r="BM83" s="99">
        <v>6687</v>
      </c>
      <c r="BN83" s="99">
        <v>11210</v>
      </c>
      <c r="BO83" s="99">
        <v>6387</v>
      </c>
      <c r="BP83" s="99">
        <v>19210</v>
      </c>
      <c r="BQ83" s="101"/>
    </row>
    <row r="84" spans="1:69">
      <c r="A84" s="4">
        <v>1884</v>
      </c>
      <c r="B84" s="95">
        <f t="shared" si="81"/>
        <v>57.070669123452255</v>
      </c>
      <c r="L84" s="51">
        <f t="shared" si="80"/>
        <v>59.291392508656664</v>
      </c>
      <c r="M84" s="51">
        <f t="shared" si="82"/>
        <v>59.880758721136523</v>
      </c>
      <c r="U84" s="76">
        <f t="shared" si="52"/>
        <v>6.2012142237640934E-2</v>
      </c>
      <c r="V84" s="76">
        <f t="shared" si="53"/>
        <v>0.19048135299219426</v>
      </c>
      <c r="W84" s="76">
        <f t="shared" si="54"/>
        <v>4.6021248915871636E-2</v>
      </c>
      <c r="X84" s="76">
        <f t="shared" si="55"/>
        <v>1.9351691240242844E-2</v>
      </c>
      <c r="Y84" s="76">
        <f t="shared" si="56"/>
        <v>0.63318516912402434</v>
      </c>
      <c r="Z84" s="76">
        <f t="shared" si="57"/>
        <v>2.1411535125758888E-2</v>
      </c>
      <c r="AA84" s="76">
        <f t="shared" si="58"/>
        <v>4.3365134431916736E-3</v>
      </c>
      <c r="AB84" s="76">
        <f t="shared" si="59"/>
        <v>2.3200346921075456E-2</v>
      </c>
      <c r="AC84" s="76">
        <f t="shared" si="60"/>
        <v>0</v>
      </c>
      <c r="AE84" s="76">
        <f t="shared" si="61"/>
        <v>17.326714521099511</v>
      </c>
      <c r="AF84" s="76">
        <f t="shared" si="62"/>
        <v>22.598706368293854</v>
      </c>
      <c r="AG84" s="76">
        <f t="shared" si="73"/>
        <v>29.828056327088976</v>
      </c>
      <c r="AH84" s="76">
        <f t="shared" si="63"/>
        <v>99.551055250957063</v>
      </c>
      <c r="AI84" s="76">
        <f t="shared" si="64"/>
        <v>85.776719232732461</v>
      </c>
      <c r="AJ84" s="76">
        <f t="shared" si="65"/>
        <v>36.514335016341434</v>
      </c>
      <c r="AK84" s="76">
        <f t="shared" si="77"/>
        <v>48.285251920926193</v>
      </c>
      <c r="AL84" s="76">
        <f t="shared" si="66"/>
        <v>32.925038048877745</v>
      </c>
      <c r="AM84" s="76"/>
      <c r="AN84" s="76"/>
      <c r="AO84" s="76">
        <f t="shared" si="67"/>
        <v>3.5000764876854829E-2</v>
      </c>
      <c r="AP84" s="76">
        <f t="shared" si="68"/>
        <v>1.0668690702087287E-2</v>
      </c>
      <c r="AQ84" s="76">
        <f t="shared" si="74"/>
        <v>5.529143601432758E-2</v>
      </c>
      <c r="AR84" s="76">
        <f t="shared" si="69"/>
        <v>5.1315222078482103E-2</v>
      </c>
      <c r="AS84" s="76">
        <f t="shared" si="70"/>
        <v>2.197328818660647</v>
      </c>
      <c r="AT84" s="76">
        <f t="shared" si="71"/>
        <v>3.4986713906111605E-2</v>
      </c>
      <c r="AU84" s="76">
        <f t="shared" si="78"/>
        <v>1.4270424545130217E-2</v>
      </c>
      <c r="AV84" s="76">
        <f t="shared" si="72"/>
        <v>2.5040954832670256E-2</v>
      </c>
      <c r="AW84" s="76"/>
      <c r="AY84" s="97">
        <v>1144</v>
      </c>
      <c r="AZ84" s="97">
        <v>3514</v>
      </c>
      <c r="BA84" s="97">
        <v>849</v>
      </c>
      <c r="BB84" s="97">
        <v>357</v>
      </c>
      <c r="BC84" s="97">
        <v>11681</v>
      </c>
      <c r="BD84" s="97">
        <v>395</v>
      </c>
      <c r="BE84" s="97">
        <v>80</v>
      </c>
      <c r="BF84" s="97">
        <v>428</v>
      </c>
      <c r="BG84" s="97"/>
      <c r="BI84" s="99">
        <v>32685</v>
      </c>
      <c r="BJ84" s="99">
        <v>329375</v>
      </c>
      <c r="BK84" s="99">
        <v>15355</v>
      </c>
      <c r="BL84" s="99">
        <v>6957</v>
      </c>
      <c r="BM84" s="99">
        <v>5316</v>
      </c>
      <c r="BN84" s="99">
        <v>11290</v>
      </c>
      <c r="BO84" s="99">
        <v>5606</v>
      </c>
      <c r="BP84" s="99">
        <v>17092</v>
      </c>
      <c r="BQ84" s="101"/>
    </row>
    <row r="85" spans="1:69">
      <c r="A85" s="4">
        <v>1885</v>
      </c>
      <c r="B85" s="95">
        <f t="shared" si="81"/>
        <v>53.271604614315351</v>
      </c>
      <c r="L85" s="51">
        <f t="shared" si="80"/>
        <v>55.061549216261284</v>
      </c>
      <c r="M85" s="51">
        <f t="shared" si="82"/>
        <v>56.181864279363559</v>
      </c>
      <c r="U85" s="76">
        <f t="shared" ref="U85:U117" si="83">AY85/SUM($AY85:$BF85)</f>
        <v>5.1448524196628292E-2</v>
      </c>
      <c r="V85" s="76">
        <f t="shared" ref="V85:V117" si="84">AZ85/SUM($AY85:$BF85)</f>
        <v>0.10677069125429647</v>
      </c>
      <c r="W85" s="76">
        <f t="shared" ref="W85:W117" si="85">BA85/SUM($AY85:$BF85)</f>
        <v>4.9975448742430026E-2</v>
      </c>
      <c r="X85" s="76">
        <f t="shared" ref="X85:X117" si="86">BB85/SUM($AY85:$BF85)</f>
        <v>2.1332314910797099E-2</v>
      </c>
      <c r="Y85" s="76">
        <f t="shared" ref="Y85:Y117" si="87">BC85/SUM($AY85:$BF85)</f>
        <v>0.7168967210431556</v>
      </c>
      <c r="Z85" s="76">
        <f t="shared" ref="Z85:Z117" si="88">BD85/SUM($AY85:$BF85)</f>
        <v>2.4114790768727155E-2</v>
      </c>
      <c r="AA85" s="76">
        <f t="shared" ref="AA85:AA117" si="89">BE85/SUM($AY85:$BF85)</f>
        <v>3.2189426591739865E-3</v>
      </c>
      <c r="AB85" s="76">
        <f t="shared" ref="AB85:AB117" si="90">BF85/SUM($AY85:$BF85)</f>
        <v>2.6242566424791315E-2</v>
      </c>
      <c r="AC85" s="76">
        <f t="shared" ref="AC85:AC117" si="91">BG85/SUM($AY85:$BF85)</f>
        <v>0</v>
      </c>
      <c r="AE85" s="76">
        <f t="shared" ref="AE85:AE116" si="92">(AO85/AO$118)*100</f>
        <v>19.206788412524674</v>
      </c>
      <c r="AF85" s="76">
        <f t="shared" ref="AF85:AF116" si="93">(AP85/AP$118)*100</f>
        <v>15.111934305663114</v>
      </c>
      <c r="AG85" s="76">
        <f t="shared" si="73"/>
        <v>29.678935563878035</v>
      </c>
      <c r="AH85" s="76">
        <f t="shared" ref="AH85:AH116" si="94">(AR85/AR$118)*100</f>
        <v>122.06893728264052</v>
      </c>
      <c r="AI85" s="76">
        <f t="shared" ref="AI85:AI116" si="95">(AS85/AS$118)*100</f>
        <v>82.228879922114714</v>
      </c>
      <c r="AJ85" s="76">
        <f t="shared" ref="AJ85:AJ116" si="96">(AT85/AT$118)*100</f>
        <v>35.053115369136762</v>
      </c>
      <c r="AK85" s="76">
        <f t="shared" si="77"/>
        <v>45.976912177147696</v>
      </c>
      <c r="AL85" s="76">
        <f t="shared" ref="AL85:AL116" si="97">(AV85/AV$118)*100</f>
        <v>36.937371238704245</v>
      </c>
      <c r="AM85" s="76"/>
      <c r="AN85" s="76"/>
      <c r="AO85" s="76">
        <f t="shared" ref="AO85:AO116" si="98">AY85/BI85</f>
        <v>3.8798601110882534E-2</v>
      </c>
      <c r="AP85" s="76">
        <f t="shared" ref="AP85:AP116" si="99">AZ85/BJ85</f>
        <v>7.1342381457542717E-3</v>
      </c>
      <c r="AQ85" s="76">
        <f t="shared" si="74"/>
        <v>5.5015015015015017E-2</v>
      </c>
      <c r="AR85" s="76">
        <f t="shared" ref="AR85:AR116" si="100">BB85/BL85</f>
        <v>6.2922433215320248E-2</v>
      </c>
      <c r="AS85" s="76">
        <f t="shared" ref="AS85:AS116" si="101">BC85/BM85</f>
        <v>2.1064443731965374</v>
      </c>
      <c r="AT85" s="76">
        <f t="shared" ref="AT85:AT116" si="102">BD85/BN85</f>
        <v>3.3586626139817631E-2</v>
      </c>
      <c r="AU85" s="76">
        <f t="shared" si="78"/>
        <v>1.3588208198986642E-2</v>
      </c>
      <c r="AV85" s="76">
        <f t="shared" ref="AV85:AV116" si="103">BF85/BP85</f>
        <v>2.8092512556944282E-2</v>
      </c>
      <c r="AW85" s="76"/>
      <c r="AY85" s="97">
        <v>943</v>
      </c>
      <c r="AZ85" s="97">
        <v>1957</v>
      </c>
      <c r="BA85" s="97">
        <v>916</v>
      </c>
      <c r="BB85" s="97">
        <v>391</v>
      </c>
      <c r="BC85" s="97">
        <v>13140</v>
      </c>
      <c r="BD85" s="97">
        <v>442</v>
      </c>
      <c r="BE85" s="97">
        <v>59</v>
      </c>
      <c r="BF85" s="97">
        <v>481</v>
      </c>
      <c r="BG85" s="97"/>
      <c r="BI85" s="99">
        <v>24305</v>
      </c>
      <c r="BJ85" s="99">
        <v>274311</v>
      </c>
      <c r="BK85" s="99">
        <v>16650</v>
      </c>
      <c r="BL85" s="99">
        <v>6214</v>
      </c>
      <c r="BM85" s="99">
        <v>6238</v>
      </c>
      <c r="BN85" s="99">
        <v>13160</v>
      </c>
      <c r="BO85" s="99">
        <v>4342</v>
      </c>
      <c r="BP85" s="99">
        <v>17122</v>
      </c>
      <c r="BQ85" s="101"/>
    </row>
    <row r="86" spans="1:69">
      <c r="A86" s="4">
        <v>1886</v>
      </c>
      <c r="B86" s="95">
        <f t="shared" si="81"/>
        <v>48.2975180252174</v>
      </c>
      <c r="L86" s="51">
        <f t="shared" si="80"/>
        <v>50.418694530827899</v>
      </c>
      <c r="M86" s="51">
        <f t="shared" si="82"/>
        <v>50.432563704559598</v>
      </c>
      <c r="U86" s="76">
        <f t="shared" si="83"/>
        <v>3.6661067698824219E-2</v>
      </c>
      <c r="V86" s="76">
        <f t="shared" si="84"/>
        <v>7.9675746731906819E-2</v>
      </c>
      <c r="W86" s="76">
        <f t="shared" si="85"/>
        <v>6.4704593587964654E-2</v>
      </c>
      <c r="X86" s="76">
        <f t="shared" si="86"/>
        <v>1.7454173665376469E-2</v>
      </c>
      <c r="Y86" s="76">
        <f t="shared" si="87"/>
        <v>0.7062732783173884</v>
      </c>
      <c r="Z86" s="76">
        <f t="shared" si="88"/>
        <v>4.2868619002409993E-2</v>
      </c>
      <c r="AA86" s="76">
        <f t="shared" si="89"/>
        <v>1.2488132622507852E-2</v>
      </c>
      <c r="AB86" s="76">
        <f t="shared" si="90"/>
        <v>3.9874388373621561E-2</v>
      </c>
      <c r="AC86" s="76">
        <f t="shared" si="91"/>
        <v>0</v>
      </c>
      <c r="AE86" s="76">
        <f t="shared" si="92"/>
        <v>16.507849096940582</v>
      </c>
      <c r="AF86" s="76">
        <f t="shared" si="93"/>
        <v>20.560551415713935</v>
      </c>
      <c r="AG86" s="76">
        <f t="shared" si="73"/>
        <v>26.190147128358699</v>
      </c>
      <c r="AH86" s="76">
        <f t="shared" si="94"/>
        <v>110.08019586564536</v>
      </c>
      <c r="AI86" s="76">
        <f t="shared" si="95"/>
        <v>69.449050901700488</v>
      </c>
      <c r="AJ86" s="76">
        <f t="shared" si="96"/>
        <v>31.53011413256916</v>
      </c>
      <c r="AK86" s="76">
        <f t="shared" si="77"/>
        <v>39.392274227217619</v>
      </c>
      <c r="AL86" s="76">
        <f t="shared" si="97"/>
        <v>38.972192657120111</v>
      </c>
      <c r="AM86" s="76"/>
      <c r="AN86" s="76"/>
      <c r="AO86" s="76">
        <f t="shared" si="98"/>
        <v>3.334661883884682E-2</v>
      </c>
      <c r="AP86" s="76">
        <f t="shared" si="99"/>
        <v>9.7064920506410197E-3</v>
      </c>
      <c r="AQ86" s="76">
        <f t="shared" si="74"/>
        <v>4.8547945205479455E-2</v>
      </c>
      <c r="AR86" s="76">
        <f t="shared" si="100"/>
        <v>5.6742640075973412E-2</v>
      </c>
      <c r="AS86" s="76">
        <f t="shared" si="101"/>
        <v>1.7790654893303899</v>
      </c>
      <c r="AT86" s="76">
        <f t="shared" si="102"/>
        <v>3.0211013896037055E-2</v>
      </c>
      <c r="AU86" s="76">
        <f t="shared" si="78"/>
        <v>1.1642156862745098E-2</v>
      </c>
      <c r="AV86" s="76">
        <f t="shared" si="103"/>
        <v>2.9640084685956247E-2</v>
      </c>
      <c r="AW86" s="76"/>
      <c r="AY86" s="97">
        <v>502</v>
      </c>
      <c r="AZ86" s="97">
        <v>1091</v>
      </c>
      <c r="BA86" s="97">
        <v>886</v>
      </c>
      <c r="BB86" s="97">
        <v>239</v>
      </c>
      <c r="BC86" s="97">
        <v>9671</v>
      </c>
      <c r="BD86" s="97">
        <v>587</v>
      </c>
      <c r="BE86" s="97">
        <v>171</v>
      </c>
      <c r="BF86" s="97">
        <v>546</v>
      </c>
      <c r="BG86" s="97"/>
      <c r="BI86" s="99">
        <v>15054</v>
      </c>
      <c r="BJ86" s="99">
        <v>112399</v>
      </c>
      <c r="BK86" s="99">
        <v>18250</v>
      </c>
      <c r="BL86" s="99">
        <v>4212</v>
      </c>
      <c r="BM86" s="99">
        <v>5436</v>
      </c>
      <c r="BN86" s="99">
        <v>19430</v>
      </c>
      <c r="BO86" s="99">
        <v>14688</v>
      </c>
      <c r="BP86" s="99">
        <v>18421</v>
      </c>
      <c r="BQ86" s="101"/>
    </row>
    <row r="87" spans="1:69">
      <c r="A87" s="4">
        <v>1887</v>
      </c>
      <c r="B87" s="95">
        <f t="shared" si="81"/>
        <v>68.148414863701248</v>
      </c>
      <c r="L87" s="51">
        <f t="shared" si="80"/>
        <v>69.103814622037646</v>
      </c>
      <c r="M87" s="51">
        <f t="shared" si="82"/>
        <v>73.259257261804407</v>
      </c>
      <c r="U87" s="76">
        <f t="shared" si="83"/>
        <v>5.9831609652612042E-2</v>
      </c>
      <c r="V87" s="76">
        <f t="shared" si="84"/>
        <v>7.4582338902147965E-2</v>
      </c>
      <c r="W87" s="76">
        <f t="shared" si="85"/>
        <v>7.1599045346062054E-2</v>
      </c>
      <c r="X87" s="76">
        <f t="shared" si="86"/>
        <v>1.4883320074250863E-2</v>
      </c>
      <c r="Y87" s="76">
        <f t="shared" si="87"/>
        <v>0.71270883054892598</v>
      </c>
      <c r="Z87" s="76">
        <f t="shared" si="88"/>
        <v>2.4927075046406788E-2</v>
      </c>
      <c r="AA87" s="76">
        <f t="shared" si="89"/>
        <v>1.4054627419782551E-2</v>
      </c>
      <c r="AB87" s="76">
        <f t="shared" si="90"/>
        <v>2.741315300981172E-2</v>
      </c>
      <c r="AC87" s="76">
        <f t="shared" si="91"/>
        <v>0</v>
      </c>
      <c r="AE87" s="76">
        <f t="shared" si="92"/>
        <v>22.837015184649246</v>
      </c>
      <c r="AF87" s="76">
        <f t="shared" si="93"/>
        <v>14.862895103266849</v>
      </c>
      <c r="AG87" s="76">
        <f t="shared" si="73"/>
        <v>61.168221906228702</v>
      </c>
      <c r="AH87" s="76">
        <f t="shared" si="94"/>
        <v>88.974038686371173</v>
      </c>
      <c r="AI87" s="76">
        <f t="shared" si="95"/>
        <v>108.0358560460231</v>
      </c>
      <c r="AJ87" s="76">
        <f t="shared" si="96"/>
        <v>37.602265943537709</v>
      </c>
      <c r="AK87" s="76">
        <f t="shared" si="77"/>
        <v>45.670319550000791</v>
      </c>
      <c r="AL87" s="76">
        <f t="shared" si="97"/>
        <v>39.842405165808323</v>
      </c>
      <c r="AM87" s="76"/>
      <c r="AN87" s="76"/>
      <c r="AO87" s="76">
        <f t="shared" si="98"/>
        <v>4.6131827127047817E-2</v>
      </c>
      <c r="AP87" s="76">
        <f t="shared" si="99"/>
        <v>7.0166684858029406E-3</v>
      </c>
      <c r="AQ87" s="76">
        <f t="shared" si="74"/>
        <v>0.11338582677165354</v>
      </c>
      <c r="AR87" s="76">
        <f t="shared" si="100"/>
        <v>4.5863125638406541E-2</v>
      </c>
      <c r="AS87" s="76">
        <f t="shared" si="101"/>
        <v>2.7675376496331574</v>
      </c>
      <c r="AT87" s="76">
        <f t="shared" si="102"/>
        <v>3.6029129934840934E-2</v>
      </c>
      <c r="AU87" s="76">
        <f t="shared" si="78"/>
        <v>1.3497596536465794E-2</v>
      </c>
      <c r="AV87" s="76">
        <f t="shared" si="103"/>
        <v>3.0301919976549904E-2</v>
      </c>
      <c r="AW87" s="76"/>
      <c r="AY87" s="97">
        <v>1805</v>
      </c>
      <c r="AZ87" s="97">
        <v>2250</v>
      </c>
      <c r="BA87" s="97">
        <v>2160</v>
      </c>
      <c r="BB87" s="97">
        <v>449</v>
      </c>
      <c r="BC87" s="97">
        <v>21501</v>
      </c>
      <c r="BD87" s="97">
        <v>752</v>
      </c>
      <c r="BE87" s="97">
        <v>424</v>
      </c>
      <c r="BF87" s="97">
        <v>827</v>
      </c>
      <c r="BG87" s="97"/>
      <c r="BI87" s="99">
        <v>39127</v>
      </c>
      <c r="BJ87" s="99">
        <v>320665</v>
      </c>
      <c r="BK87" s="99">
        <v>19050</v>
      </c>
      <c r="BL87" s="99">
        <v>9790</v>
      </c>
      <c r="BM87" s="99">
        <v>7769</v>
      </c>
      <c r="BN87" s="99">
        <v>20872</v>
      </c>
      <c r="BO87" s="99">
        <v>31413</v>
      </c>
      <c r="BP87" s="99">
        <v>27292</v>
      </c>
      <c r="BQ87" s="101"/>
    </row>
    <row r="88" spans="1:69">
      <c r="A88" s="4">
        <v>1888</v>
      </c>
      <c r="B88" s="95">
        <f t="shared" si="81"/>
        <v>85.682602127213642</v>
      </c>
      <c r="L88" s="51">
        <f t="shared" si="80"/>
        <v>86.947771794905748</v>
      </c>
      <c r="M88" s="51">
        <f t="shared" si="82"/>
        <v>92.040687396491506</v>
      </c>
      <c r="U88" s="76">
        <f t="shared" si="83"/>
        <v>4.7880690737833596E-2</v>
      </c>
      <c r="V88" s="76">
        <f t="shared" si="84"/>
        <v>0.10390502354788068</v>
      </c>
      <c r="W88" s="76">
        <f t="shared" si="85"/>
        <v>0.19740973312401883</v>
      </c>
      <c r="X88" s="76">
        <f t="shared" si="86"/>
        <v>1.9819466248037678E-2</v>
      </c>
      <c r="Y88" s="76">
        <f t="shared" si="87"/>
        <v>0.53262362637362637</v>
      </c>
      <c r="Z88" s="76">
        <f t="shared" si="88"/>
        <v>4.8224097331240189E-2</v>
      </c>
      <c r="AA88" s="76">
        <f t="shared" si="89"/>
        <v>1.9034536891679749E-2</v>
      </c>
      <c r="AB88" s="76">
        <f t="shared" si="90"/>
        <v>3.1102825745682888E-2</v>
      </c>
      <c r="AC88" s="76">
        <f t="shared" si="91"/>
        <v>0</v>
      </c>
      <c r="AE88" s="76">
        <f t="shared" si="92"/>
        <v>21.868256174001854</v>
      </c>
      <c r="AF88" s="76">
        <f t="shared" si="93"/>
        <v>28.306104400969772</v>
      </c>
      <c r="AG88" s="76">
        <f t="shared" si="73"/>
        <v>110.13831624081953</v>
      </c>
      <c r="AH88" s="76">
        <f t="shared" si="94"/>
        <v>77.545884613871621</v>
      </c>
      <c r="AI88" s="76">
        <f t="shared" si="95"/>
        <v>123.0611799185583</v>
      </c>
      <c r="AJ88" s="76">
        <f t="shared" si="96"/>
        <v>54.701179569304173</v>
      </c>
      <c r="AK88" s="76">
        <f t="shared" si="77"/>
        <v>60.543836146617522</v>
      </c>
      <c r="AL88" s="76">
        <f t="shared" si="97"/>
        <v>43.589905099200017</v>
      </c>
      <c r="AM88" s="76"/>
      <c r="AN88" s="76"/>
      <c r="AO88" s="76">
        <f t="shared" si="98"/>
        <v>4.4174889110165656E-2</v>
      </c>
      <c r="AP88" s="76">
        <f t="shared" si="99"/>
        <v>1.3363113264688068E-2</v>
      </c>
      <c r="AQ88" s="76">
        <f t="shared" si="74"/>
        <v>0.20416032470826992</v>
      </c>
      <c r="AR88" s="76">
        <f t="shared" si="100"/>
        <v>3.997229642821807E-2</v>
      </c>
      <c r="AS88" s="76">
        <f t="shared" si="101"/>
        <v>3.1524390243902438</v>
      </c>
      <c r="AT88" s="76">
        <f t="shared" si="102"/>
        <v>5.2412689949346843E-2</v>
      </c>
      <c r="AU88" s="76">
        <f t="shared" si="78"/>
        <v>1.7893377605607823E-2</v>
      </c>
      <c r="AV88" s="76">
        <f t="shared" si="103"/>
        <v>3.3152060238443838E-2</v>
      </c>
      <c r="AW88" s="76"/>
      <c r="AY88" s="97">
        <v>976</v>
      </c>
      <c r="AZ88" s="97">
        <v>2118</v>
      </c>
      <c r="BA88" s="97">
        <v>4024</v>
      </c>
      <c r="BB88" s="97">
        <v>404</v>
      </c>
      <c r="BC88" s="97">
        <v>10857</v>
      </c>
      <c r="BD88" s="97">
        <v>983</v>
      </c>
      <c r="BE88" s="97">
        <v>388</v>
      </c>
      <c r="BF88" s="97">
        <v>634</v>
      </c>
      <c r="BG88" s="97"/>
      <c r="BI88" s="99">
        <v>22094</v>
      </c>
      <c r="BJ88" s="99">
        <v>158496</v>
      </c>
      <c r="BK88" s="99">
        <v>19710</v>
      </c>
      <c r="BL88" s="99">
        <v>10107</v>
      </c>
      <c r="BM88" s="99">
        <v>3444</v>
      </c>
      <c r="BN88" s="99">
        <v>18755</v>
      </c>
      <c r="BO88" s="99">
        <v>21684</v>
      </c>
      <c r="BP88" s="99">
        <v>19124</v>
      </c>
      <c r="BQ88" s="101"/>
    </row>
    <row r="89" spans="1:69">
      <c r="A89" s="4">
        <v>1889</v>
      </c>
      <c r="B89" s="95">
        <f t="shared" si="81"/>
        <v>87.256752051459969</v>
      </c>
      <c r="L89" s="51">
        <f t="shared" si="80"/>
        <v>89.924416461158387</v>
      </c>
      <c r="M89" s="51">
        <f t="shared" si="82"/>
        <v>92.294001149823103</v>
      </c>
      <c r="U89" s="76">
        <f t="shared" si="83"/>
        <v>2.8565044132434547E-2</v>
      </c>
      <c r="V89" s="76">
        <f t="shared" si="84"/>
        <v>5.8917731183196154E-2</v>
      </c>
      <c r="W89" s="76">
        <f t="shared" si="85"/>
        <v>0.10383225950616365</v>
      </c>
      <c r="X89" s="76">
        <f t="shared" si="86"/>
        <v>1.4338385907414994E-2</v>
      </c>
      <c r="Y89" s="76">
        <f t="shared" si="87"/>
        <v>0.70697553163755544</v>
      </c>
      <c r="Z89" s="76">
        <f t="shared" si="88"/>
        <v>4.4057949424602436E-2</v>
      </c>
      <c r="AA89" s="76">
        <f t="shared" si="89"/>
        <v>1.6461211872928382E-2</v>
      </c>
      <c r="AB89" s="76">
        <f t="shared" si="90"/>
        <v>2.6851886335704442E-2</v>
      </c>
      <c r="AC89" s="76">
        <f t="shared" si="91"/>
        <v>0</v>
      </c>
      <c r="AE89" s="76">
        <f t="shared" si="92"/>
        <v>27.970112324800024</v>
      </c>
      <c r="AF89" s="76">
        <f t="shared" si="93"/>
        <v>31.74591000466641</v>
      </c>
      <c r="AG89" s="76">
        <f t="shared" si="73"/>
        <v>54.113895834007522</v>
      </c>
      <c r="AH89" s="76">
        <f t="shared" si="94"/>
        <v>82.603011709950408</v>
      </c>
      <c r="AI89" s="76">
        <f t="shared" si="95"/>
        <v>132.65948168868383</v>
      </c>
      <c r="AJ89" s="76">
        <f t="shared" si="96"/>
        <v>55.677709186900216</v>
      </c>
      <c r="AK89" s="76">
        <f t="shared" si="77"/>
        <v>64.560602224676671</v>
      </c>
      <c r="AL89" s="76">
        <f t="shared" si="97"/>
        <v>47.232578434053586</v>
      </c>
      <c r="AM89" s="76"/>
      <c r="AN89" s="76"/>
      <c r="AO89" s="76">
        <f t="shared" si="98"/>
        <v>5.6500920810313077E-2</v>
      </c>
      <c r="AP89" s="76">
        <f t="shared" si="99"/>
        <v>1.4987021353189715E-2</v>
      </c>
      <c r="AQ89" s="76">
        <f t="shared" si="74"/>
        <v>0.1003094192991293</v>
      </c>
      <c r="AR89" s="76">
        <f t="shared" si="100"/>
        <v>4.2579075425790751E-2</v>
      </c>
      <c r="AS89" s="76">
        <f t="shared" si="101"/>
        <v>3.3983172216254922</v>
      </c>
      <c r="AT89" s="76">
        <f t="shared" si="102"/>
        <v>5.3348365276211951E-2</v>
      </c>
      <c r="AU89" s="76">
        <f t="shared" si="78"/>
        <v>1.9080509389164689E-2</v>
      </c>
      <c r="AV89" s="76">
        <f t="shared" si="103"/>
        <v>3.5922475212993875E-2</v>
      </c>
      <c r="AW89" s="76"/>
      <c r="AY89" s="97">
        <v>767</v>
      </c>
      <c r="AZ89" s="97">
        <v>1582</v>
      </c>
      <c r="BA89" s="97">
        <v>2788</v>
      </c>
      <c r="BB89" s="97">
        <v>385</v>
      </c>
      <c r="BC89" s="97">
        <v>18983</v>
      </c>
      <c r="BD89" s="97">
        <v>1183</v>
      </c>
      <c r="BE89" s="97">
        <v>442</v>
      </c>
      <c r="BF89" s="97">
        <v>721</v>
      </c>
      <c r="BG89" s="97"/>
      <c r="BI89" s="99">
        <v>13575</v>
      </c>
      <c r="BJ89" s="99">
        <v>105558</v>
      </c>
      <c r="BK89" s="99">
        <v>27794</v>
      </c>
      <c r="BL89" s="99">
        <v>9042</v>
      </c>
      <c r="BM89" s="99">
        <v>5586</v>
      </c>
      <c r="BN89" s="99">
        <v>22175</v>
      </c>
      <c r="BO89" s="99">
        <v>23165</v>
      </c>
      <c r="BP89" s="99">
        <v>20071</v>
      </c>
      <c r="BQ89" s="101"/>
    </row>
    <row r="90" spans="1:69">
      <c r="A90" s="4">
        <v>1890</v>
      </c>
      <c r="B90" s="95">
        <f t="shared" si="81"/>
        <v>85.619179839830224</v>
      </c>
      <c r="L90" s="51">
        <f t="shared" si="80"/>
        <v>87.66976721861171</v>
      </c>
      <c r="M90" s="51">
        <f t="shared" si="82"/>
        <v>91.147610762450938</v>
      </c>
      <c r="U90" s="76">
        <f t="shared" si="83"/>
        <v>2.5580083789880761E-2</v>
      </c>
      <c r="V90" s="76">
        <f t="shared" si="84"/>
        <v>6.590396390589752E-2</v>
      </c>
      <c r="W90" s="76">
        <f t="shared" si="85"/>
        <v>0.10272317112471802</v>
      </c>
      <c r="X90" s="76">
        <f t="shared" si="86"/>
        <v>1.0030615533354818E-2</v>
      </c>
      <c r="Y90" s="76">
        <f t="shared" si="87"/>
        <v>0.71906219787302605</v>
      </c>
      <c r="Z90" s="76">
        <f t="shared" si="88"/>
        <v>3.8631969062197874E-2</v>
      </c>
      <c r="AA90" s="76">
        <f t="shared" si="89"/>
        <v>1.6032871414759911E-2</v>
      </c>
      <c r="AB90" s="76">
        <f t="shared" si="90"/>
        <v>2.2035127296165E-2</v>
      </c>
      <c r="AC90" s="76">
        <f t="shared" si="91"/>
        <v>0</v>
      </c>
      <c r="AE90" s="76">
        <f t="shared" si="92"/>
        <v>24.678068506925843</v>
      </c>
      <c r="AF90" s="76">
        <f t="shared" si="93"/>
        <v>25.879103671711285</v>
      </c>
      <c r="AG90" s="76">
        <f t="shared" si="73"/>
        <v>56.448412963149607</v>
      </c>
      <c r="AH90" s="76">
        <f t="shared" si="94"/>
        <v>77.462747323234822</v>
      </c>
      <c r="AI90" s="76">
        <f t="shared" si="95"/>
        <v>136.38816852332405</v>
      </c>
      <c r="AJ90" s="76">
        <f t="shared" si="96"/>
        <v>46.630297866876361</v>
      </c>
      <c r="AK90" s="76">
        <f t="shared" si="77"/>
        <v>55.679667298720062</v>
      </c>
      <c r="AL90" s="76">
        <f t="shared" si="97"/>
        <v>42.426947173449321</v>
      </c>
      <c r="AM90" s="76"/>
      <c r="AN90" s="76"/>
      <c r="AO90" s="76">
        <f t="shared" si="98"/>
        <v>4.9850840006280421E-2</v>
      </c>
      <c r="AP90" s="76">
        <f t="shared" si="99"/>
        <v>1.2217343250589957E-2</v>
      </c>
      <c r="AQ90" s="76">
        <f t="shared" si="74"/>
        <v>0.104636848584325</v>
      </c>
      <c r="AR90" s="76">
        <f t="shared" si="100"/>
        <v>3.9929441949967927E-2</v>
      </c>
      <c r="AS90" s="76">
        <f t="shared" si="101"/>
        <v>3.4938344098649443</v>
      </c>
      <c r="AT90" s="76">
        <f t="shared" si="102"/>
        <v>4.4679463287364891E-2</v>
      </c>
      <c r="AU90" s="76">
        <f t="shared" si="78"/>
        <v>1.6455800876540146E-2</v>
      </c>
      <c r="AV90" s="76">
        <f t="shared" si="103"/>
        <v>3.2267579046720153E-2</v>
      </c>
      <c r="AW90" s="76"/>
      <c r="AY90" s="97">
        <v>635</v>
      </c>
      <c r="AZ90" s="97">
        <v>1636</v>
      </c>
      <c r="BA90" s="97">
        <v>2550</v>
      </c>
      <c r="BB90" s="97">
        <v>249</v>
      </c>
      <c r="BC90" s="97">
        <v>17850</v>
      </c>
      <c r="BD90" s="97">
        <v>959</v>
      </c>
      <c r="BE90" s="97">
        <v>398</v>
      </c>
      <c r="BF90" s="97">
        <v>547</v>
      </c>
      <c r="BG90" s="97"/>
      <c r="BI90" s="99">
        <v>12738</v>
      </c>
      <c r="BJ90" s="99">
        <v>133908</v>
      </c>
      <c r="BK90" s="99">
        <v>24370</v>
      </c>
      <c r="BL90" s="99">
        <v>6236</v>
      </c>
      <c r="BM90" s="99">
        <v>5109</v>
      </c>
      <c r="BN90" s="99">
        <v>21464</v>
      </c>
      <c r="BO90" s="99">
        <v>24186</v>
      </c>
      <c r="BP90" s="99">
        <v>16952</v>
      </c>
      <c r="BQ90" s="101"/>
    </row>
    <row r="91" spans="1:69">
      <c r="A91" s="4">
        <v>1891</v>
      </c>
      <c r="B91" s="95">
        <f t="shared" ref="B91:B100" si="104">(GEOMEAN(M91:N91)/GEOMEAN(M$101:N$101))*B$101</f>
        <v>82.151779904745652</v>
      </c>
      <c r="L91" s="51">
        <f t="shared" si="80"/>
        <v>83.191207578919588</v>
      </c>
      <c r="M91" s="51">
        <f t="shared" si="82"/>
        <v>88.432019293603204</v>
      </c>
      <c r="N91" s="51">
        <f t="shared" ref="N91:N111" si="105">(AF91^V$13)*(AH91^X$13)*(AI91^Y$13)*(AJ91^Z$13)*(AL91^AB$13)*(AG91^W$13)*(AK91^AA$13)*(AE91^U$13)</f>
        <v>88.501799198858905</v>
      </c>
      <c r="U91" s="76">
        <f t="shared" si="83"/>
        <v>4.2453378823711863E-2</v>
      </c>
      <c r="V91" s="76">
        <f t="shared" si="84"/>
        <v>0.10367153878959408</v>
      </c>
      <c r="W91" s="76">
        <f t="shared" si="85"/>
        <v>0.10413678129725119</v>
      </c>
      <c r="X91" s="76">
        <f t="shared" si="86"/>
        <v>1.415112627457062E-2</v>
      </c>
      <c r="Y91" s="76">
        <f t="shared" si="87"/>
        <v>0.68084363974721829</v>
      </c>
      <c r="Z91" s="76">
        <f t="shared" si="88"/>
        <v>2.9349048191369752E-2</v>
      </c>
      <c r="AA91" s="76">
        <f t="shared" si="89"/>
        <v>1.0623037258170822E-2</v>
      </c>
      <c r="AB91" s="76">
        <f t="shared" si="90"/>
        <v>1.4771449618113441E-2</v>
      </c>
      <c r="AC91" s="76">
        <f t="shared" si="91"/>
        <v>0</v>
      </c>
      <c r="AE91" s="76">
        <f t="shared" si="92"/>
        <v>26.910926569683252</v>
      </c>
      <c r="AF91" s="76">
        <f t="shared" si="93"/>
        <v>30.633191710359377</v>
      </c>
      <c r="AG91" s="76">
        <f t="shared" ref="AG91:AG122" si="106">(AQ91/AQ$118)*100</f>
        <v>67.018903281713477</v>
      </c>
      <c r="AH91" s="76">
        <f t="shared" si="94"/>
        <v>70.150249379649637</v>
      </c>
      <c r="AI91" s="76">
        <f t="shared" si="95"/>
        <v>127.58710466515815</v>
      </c>
      <c r="AJ91" s="76">
        <f t="shared" si="96"/>
        <v>33.130071255648488</v>
      </c>
      <c r="AK91" s="76">
        <f t="shared" si="77"/>
        <v>37.458722980619775</v>
      </c>
      <c r="AL91" s="76">
        <f t="shared" si="97"/>
        <v>24.319477430883182</v>
      </c>
      <c r="AM91" s="76"/>
      <c r="AN91" s="76"/>
      <c r="AO91" s="76">
        <f t="shared" si="98"/>
        <v>5.4361316586407187E-2</v>
      </c>
      <c r="AP91" s="76">
        <f t="shared" si="99"/>
        <v>1.446171485435528E-2</v>
      </c>
      <c r="AQ91" s="76">
        <f t="shared" ref="AQ91:AQ122" si="107">BA91/BK91</f>
        <v>0.12423107164330975</v>
      </c>
      <c r="AR91" s="76">
        <f t="shared" si="100"/>
        <v>3.6160095106003563E-2</v>
      </c>
      <c r="AS91" s="76">
        <f t="shared" si="101"/>
        <v>3.2683789316955147</v>
      </c>
      <c r="AT91" s="76">
        <f t="shared" si="102"/>
        <v>3.1744034889084581E-2</v>
      </c>
      <c r="AU91" s="76">
        <f t="shared" si="78"/>
        <v>1.1070707070707071E-2</v>
      </c>
      <c r="AV91" s="76">
        <f t="shared" si="103"/>
        <v>1.8496043497257149E-2</v>
      </c>
      <c r="AW91" s="76"/>
      <c r="AY91" s="97">
        <v>1095</v>
      </c>
      <c r="AZ91" s="97">
        <v>2674</v>
      </c>
      <c r="BA91" s="97">
        <v>2686</v>
      </c>
      <c r="BB91" s="97">
        <v>365</v>
      </c>
      <c r="BC91" s="97">
        <v>17561</v>
      </c>
      <c r="BD91" s="97">
        <v>757</v>
      </c>
      <c r="BE91" s="97">
        <v>274</v>
      </c>
      <c r="BF91" s="97">
        <v>381</v>
      </c>
      <c r="BG91" s="97"/>
      <c r="BI91" s="99">
        <v>20143</v>
      </c>
      <c r="BJ91" s="99">
        <v>184902</v>
      </c>
      <c r="BK91" s="99">
        <v>21621</v>
      </c>
      <c r="BL91" s="99">
        <v>10094</v>
      </c>
      <c r="BM91" s="99">
        <v>5373</v>
      </c>
      <c r="BN91" s="99">
        <v>23847</v>
      </c>
      <c r="BO91" s="99">
        <v>24750</v>
      </c>
      <c r="BP91" s="99">
        <v>20599</v>
      </c>
      <c r="BQ91" s="101"/>
    </row>
    <row r="92" spans="1:69">
      <c r="A92" s="4">
        <v>1892</v>
      </c>
      <c r="B92" s="95">
        <f t="shared" si="104"/>
        <v>80.76742317501791</v>
      </c>
      <c r="M92" s="51">
        <f t="shared" si="82"/>
        <v>85.884769344044685</v>
      </c>
      <c r="N92" s="51">
        <f t="shared" si="105"/>
        <v>88.081355209644684</v>
      </c>
      <c r="U92" s="76">
        <f t="shared" si="83"/>
        <v>1.8579531945246426E-2</v>
      </c>
      <c r="V92" s="76">
        <f t="shared" si="84"/>
        <v>8.2300193607554098E-2</v>
      </c>
      <c r="W92" s="76">
        <f t="shared" si="85"/>
        <v>0.10230630753031486</v>
      </c>
      <c r="X92" s="76">
        <f t="shared" si="86"/>
        <v>9.3746815665228765E-3</v>
      </c>
      <c r="Y92" s="76">
        <f t="shared" si="87"/>
        <v>0.74820828096871705</v>
      </c>
      <c r="Z92" s="76">
        <f t="shared" si="88"/>
        <v>2.238375055195136E-2</v>
      </c>
      <c r="AA92" s="76">
        <f t="shared" si="89"/>
        <v>7.676369688529602E-3</v>
      </c>
      <c r="AB92" s="76">
        <f t="shared" si="90"/>
        <v>9.1708841411636838E-3</v>
      </c>
      <c r="AC92" s="76">
        <f t="shared" si="91"/>
        <v>0</v>
      </c>
      <c r="AE92" s="76">
        <f t="shared" si="92"/>
        <v>22.728376520278282</v>
      </c>
      <c r="AF92" s="76">
        <f t="shared" si="93"/>
        <v>31.706925790019003</v>
      </c>
      <c r="AG92" s="76">
        <f t="shared" si="106"/>
        <v>76.580395957239617</v>
      </c>
      <c r="AH92" s="76">
        <f t="shared" si="94"/>
        <v>82.654745612225426</v>
      </c>
      <c r="AI92" s="76">
        <f t="shared" si="95"/>
        <v>120.95976470405544</v>
      </c>
      <c r="AJ92" s="76">
        <f t="shared" si="96"/>
        <v>27.788842255305667</v>
      </c>
      <c r="AK92" s="76">
        <f t="shared" si="77"/>
        <v>30.23928821611484</v>
      </c>
      <c r="AL92" s="76">
        <f t="shared" si="97"/>
        <v>27.68315953102735</v>
      </c>
      <c r="AM92" s="76"/>
      <c r="AN92" s="76"/>
      <c r="AO92" s="76">
        <f t="shared" si="98"/>
        <v>4.5912371999328523E-2</v>
      </c>
      <c r="AP92" s="76">
        <f t="shared" si="99"/>
        <v>1.4968617179005633E-2</v>
      </c>
      <c r="AQ92" s="76">
        <f t="shared" si="107"/>
        <v>0.14195494391554342</v>
      </c>
      <c r="AR92" s="76">
        <f t="shared" si="100"/>
        <v>4.2605742513121332E-2</v>
      </c>
      <c r="AS92" s="76">
        <f t="shared" si="101"/>
        <v>3.0986073990715992</v>
      </c>
      <c r="AT92" s="76">
        <f t="shared" si="102"/>
        <v>2.6626262626262626E-2</v>
      </c>
      <c r="AU92" s="76">
        <f t="shared" si="78"/>
        <v>8.9370452388484664E-3</v>
      </c>
      <c r="AV92" s="76">
        <f t="shared" si="103"/>
        <v>2.105427323767935E-2</v>
      </c>
      <c r="AW92" s="76"/>
      <c r="AY92" s="97">
        <v>547</v>
      </c>
      <c r="AZ92" s="97">
        <v>2423</v>
      </c>
      <c r="BA92" s="97">
        <v>3012</v>
      </c>
      <c r="BB92" s="97">
        <v>276</v>
      </c>
      <c r="BC92" s="97">
        <v>22028</v>
      </c>
      <c r="BD92" s="97">
        <v>659</v>
      </c>
      <c r="BE92" s="97">
        <v>226</v>
      </c>
      <c r="BF92" s="97">
        <v>270</v>
      </c>
      <c r="BG92" s="97"/>
      <c r="BI92" s="99">
        <v>11914</v>
      </c>
      <c r="BJ92" s="99">
        <v>161872</v>
      </c>
      <c r="BK92" s="99">
        <v>21218</v>
      </c>
      <c r="BL92" s="99">
        <v>6478</v>
      </c>
      <c r="BM92" s="99">
        <v>7109</v>
      </c>
      <c r="BN92" s="99">
        <v>24750</v>
      </c>
      <c r="BO92" s="99">
        <v>25288</v>
      </c>
      <c r="BP92" s="99">
        <v>12824</v>
      </c>
      <c r="BQ92" s="101"/>
    </row>
    <row r="93" spans="1:69">
      <c r="A93" s="4">
        <v>1893</v>
      </c>
      <c r="B93" s="95">
        <f t="shared" si="104"/>
        <v>100.82004317105883</v>
      </c>
      <c r="M93" s="51">
        <f t="shared" si="82"/>
        <v>108.20233319282045</v>
      </c>
      <c r="N93" s="51">
        <f t="shared" si="105"/>
        <v>108.93936001539375</v>
      </c>
      <c r="U93" s="76">
        <f t="shared" si="83"/>
        <v>6.2078624238673746E-2</v>
      </c>
      <c r="V93" s="76">
        <f t="shared" si="84"/>
        <v>6.3381428524899849E-2</v>
      </c>
      <c r="W93" s="76">
        <f t="shared" si="85"/>
        <v>0.1108360746506856</v>
      </c>
      <c r="X93" s="76">
        <f t="shared" si="86"/>
        <v>1.5307950363156695E-2</v>
      </c>
      <c r="Y93" s="76">
        <f t="shared" si="87"/>
        <v>0.70716216656352804</v>
      </c>
      <c r="Z93" s="76">
        <f t="shared" si="88"/>
        <v>1.5861642184802786E-2</v>
      </c>
      <c r="AA93" s="76">
        <f t="shared" si="89"/>
        <v>5.4717780021496269E-3</v>
      </c>
      <c r="AB93" s="76">
        <f t="shared" si="90"/>
        <v>1.9900335472103702E-2</v>
      </c>
      <c r="AC93" s="76">
        <f t="shared" si="91"/>
        <v>0</v>
      </c>
      <c r="AE93" s="76">
        <f t="shared" si="92"/>
        <v>24.232548683555567</v>
      </c>
      <c r="AF93" s="76">
        <f t="shared" si="93"/>
        <v>39.649769307291848</v>
      </c>
      <c r="AG93" s="76">
        <f t="shared" si="106"/>
        <v>88.302814225775691</v>
      </c>
      <c r="AH93" s="76">
        <f t="shared" si="94"/>
        <v>90.644760325571255</v>
      </c>
      <c r="AI93" s="76">
        <f t="shared" si="95"/>
        <v>159.70743049716279</v>
      </c>
      <c r="AJ93" s="76">
        <f t="shared" si="96"/>
        <v>27.449979930720055</v>
      </c>
      <c r="AK93" s="76">
        <f t="shared" si="77"/>
        <v>34.534809037928049</v>
      </c>
      <c r="AL93" s="76">
        <f t="shared" si="97"/>
        <v>25.375781026707251</v>
      </c>
      <c r="AM93" s="76"/>
      <c r="AN93" s="76"/>
      <c r="AO93" s="76">
        <f t="shared" si="98"/>
        <v>4.8950869353057501E-2</v>
      </c>
      <c r="AP93" s="76">
        <f t="shared" si="99"/>
        <v>1.8718377868836691E-2</v>
      </c>
      <c r="AQ93" s="76">
        <f t="shared" si="107"/>
        <v>0.16368446368446368</v>
      </c>
      <c r="AR93" s="76">
        <f t="shared" si="100"/>
        <v>4.6724326473804555E-2</v>
      </c>
      <c r="AS93" s="76">
        <f t="shared" si="101"/>
        <v>4.0912003014886</v>
      </c>
      <c r="AT93" s="76">
        <f t="shared" si="102"/>
        <v>2.6301577014473967E-2</v>
      </c>
      <c r="AU93" s="76">
        <f t="shared" si="78"/>
        <v>1.0206561360874849E-2</v>
      </c>
      <c r="AV93" s="76">
        <f t="shared" si="103"/>
        <v>1.929940933068006E-2</v>
      </c>
      <c r="AW93" s="76"/>
      <c r="AY93" s="97">
        <v>1906</v>
      </c>
      <c r="AZ93" s="97">
        <v>1946</v>
      </c>
      <c r="BA93" s="97">
        <v>3403</v>
      </c>
      <c r="BB93" s="97">
        <v>470</v>
      </c>
      <c r="BC93" s="97">
        <v>21712</v>
      </c>
      <c r="BD93" s="97">
        <v>487</v>
      </c>
      <c r="BE93" s="97">
        <v>168</v>
      </c>
      <c r="BF93" s="97">
        <v>611</v>
      </c>
      <c r="BG93" s="97"/>
      <c r="BI93" s="99">
        <v>38937</v>
      </c>
      <c r="BJ93" s="99">
        <v>103962</v>
      </c>
      <c r="BK93" s="99">
        <v>20790</v>
      </c>
      <c r="BL93" s="99">
        <v>10059</v>
      </c>
      <c r="BM93" s="99">
        <v>5307</v>
      </c>
      <c r="BN93" s="99">
        <v>18516</v>
      </c>
      <c r="BO93" s="99">
        <v>16460</v>
      </c>
      <c r="BP93" s="99">
        <v>31659</v>
      </c>
      <c r="BQ93" s="101"/>
    </row>
    <row r="94" spans="1:69">
      <c r="A94" s="4">
        <v>1894</v>
      </c>
      <c r="B94" s="95">
        <f t="shared" si="104"/>
        <v>91.621051379257779</v>
      </c>
      <c r="M94" s="51">
        <f t="shared" si="82"/>
        <v>97.063928212125134</v>
      </c>
      <c r="N94" s="51">
        <f t="shared" si="105"/>
        <v>100.29063151409075</v>
      </c>
      <c r="U94" s="76">
        <f t="shared" si="83"/>
        <v>4.1367029655503047E-2</v>
      </c>
      <c r="V94" s="76">
        <f t="shared" si="84"/>
        <v>6.9789740428737757E-2</v>
      </c>
      <c r="W94" s="76">
        <f t="shared" si="85"/>
        <v>0.1217039928772002</v>
      </c>
      <c r="X94" s="76">
        <f t="shared" si="86"/>
        <v>1.167728237791932E-2</v>
      </c>
      <c r="Y94" s="76">
        <f t="shared" si="87"/>
        <v>0.715156496130402</v>
      </c>
      <c r="Z94" s="76">
        <f t="shared" si="88"/>
        <v>1.633449763714814E-2</v>
      </c>
      <c r="AA94" s="76">
        <f t="shared" si="89"/>
        <v>1.4040134237381001E-2</v>
      </c>
      <c r="AB94" s="76">
        <f t="shared" si="90"/>
        <v>9.9308266557085138E-3</v>
      </c>
      <c r="AC94" s="76">
        <f t="shared" si="91"/>
        <v>0</v>
      </c>
      <c r="AE94" s="76">
        <f t="shared" si="92"/>
        <v>21.936323204219548</v>
      </c>
      <c r="AF94" s="76">
        <f t="shared" si="93"/>
        <v>28.32679025065395</v>
      </c>
      <c r="AG94" s="76">
        <f t="shared" si="106"/>
        <v>78.893730463289415</v>
      </c>
      <c r="AH94" s="76">
        <f t="shared" si="94"/>
        <v>78.18660201706156</v>
      </c>
      <c r="AI94" s="76">
        <f t="shared" si="95"/>
        <v>146.04888043453573</v>
      </c>
      <c r="AJ94" s="76">
        <f t="shared" si="96"/>
        <v>25.975851785930182</v>
      </c>
      <c r="AK94" s="76">
        <f t="shared" si="77"/>
        <v>57.044759308653738</v>
      </c>
      <c r="AL94" s="76">
        <f t="shared" si="97"/>
        <v>27.971375350349259</v>
      </c>
      <c r="AM94" s="76"/>
      <c r="AN94" s="76"/>
      <c r="AO94" s="76">
        <f t="shared" si="98"/>
        <v>4.4312387660027146E-2</v>
      </c>
      <c r="AP94" s="76">
        <f t="shared" si="99"/>
        <v>1.3372878909172036E-2</v>
      </c>
      <c r="AQ94" s="76">
        <f t="shared" si="107"/>
        <v>0.14624310756316353</v>
      </c>
      <c r="AR94" s="76">
        <f t="shared" si="100"/>
        <v>4.030256470866328E-2</v>
      </c>
      <c r="AS94" s="76">
        <f t="shared" si="101"/>
        <v>3.7413113579362234</v>
      </c>
      <c r="AT94" s="76">
        <f t="shared" si="102"/>
        <v>2.4889120793112444E-2</v>
      </c>
      <c r="AU94" s="76">
        <f t="shared" si="78"/>
        <v>1.6859245857148732E-2</v>
      </c>
      <c r="AV94" s="76">
        <f t="shared" si="103"/>
        <v>2.1273474178403758E-2</v>
      </c>
      <c r="AW94" s="76"/>
      <c r="AY94" s="97">
        <v>1208</v>
      </c>
      <c r="AZ94" s="97">
        <v>2038</v>
      </c>
      <c r="BA94" s="97">
        <v>3554</v>
      </c>
      <c r="BB94" s="97">
        <v>341</v>
      </c>
      <c r="BC94" s="97">
        <v>20884</v>
      </c>
      <c r="BD94" s="97">
        <v>477</v>
      </c>
      <c r="BE94" s="97">
        <v>410</v>
      </c>
      <c r="BF94" s="97">
        <v>290</v>
      </c>
      <c r="BG94" s="97"/>
      <c r="BI94" s="99">
        <v>27261</v>
      </c>
      <c r="BJ94" s="99">
        <v>152398</v>
      </c>
      <c r="BK94" s="99">
        <v>24302</v>
      </c>
      <c r="BL94" s="99">
        <v>8461</v>
      </c>
      <c r="BM94" s="99">
        <v>5582</v>
      </c>
      <c r="BN94" s="99">
        <v>19165</v>
      </c>
      <c r="BO94" s="99">
        <v>24319</v>
      </c>
      <c r="BP94" s="99">
        <v>13632</v>
      </c>
      <c r="BQ94" s="101"/>
    </row>
    <row r="95" spans="1:69">
      <c r="A95" s="4">
        <v>1895</v>
      </c>
      <c r="B95" s="95">
        <f t="shared" si="104"/>
        <v>85.229611974230764</v>
      </c>
      <c r="M95" s="51">
        <f t="shared" si="82"/>
        <v>89.19876504553514</v>
      </c>
      <c r="N95" s="51">
        <f t="shared" si="105"/>
        <v>94.43867125783045</v>
      </c>
      <c r="U95" s="76">
        <f t="shared" si="83"/>
        <v>1.5186246418338109E-2</v>
      </c>
      <c r="V95" s="76">
        <f t="shared" si="84"/>
        <v>5.8357211079274114E-2</v>
      </c>
      <c r="W95" s="76">
        <f t="shared" si="85"/>
        <v>0.1609360076408787</v>
      </c>
      <c r="X95" s="76">
        <f t="shared" si="86"/>
        <v>1.0187838268067495E-2</v>
      </c>
      <c r="Y95" s="76">
        <f t="shared" si="87"/>
        <v>0.71267112384590892</v>
      </c>
      <c r="Z95" s="76">
        <f t="shared" si="88"/>
        <v>1.6746259153135944E-2</v>
      </c>
      <c r="AA95" s="76">
        <f t="shared" si="89"/>
        <v>1.3530722699777141E-2</v>
      </c>
      <c r="AB95" s="76">
        <f t="shared" si="90"/>
        <v>1.2384590894619548E-2</v>
      </c>
      <c r="AC95" s="76">
        <f t="shared" si="91"/>
        <v>0</v>
      </c>
      <c r="AE95" s="76">
        <f t="shared" si="92"/>
        <v>24.829990126905386</v>
      </c>
      <c r="AF95" s="76">
        <f t="shared" si="93"/>
        <v>23.74310334751722</v>
      </c>
      <c r="AG95" s="76">
        <f t="shared" si="106"/>
        <v>90.176234574084106</v>
      </c>
      <c r="AH95" s="76">
        <f t="shared" si="94"/>
        <v>59.07289316690553</v>
      </c>
      <c r="AI95" s="76">
        <f t="shared" si="95"/>
        <v>130.03558189595884</v>
      </c>
      <c r="AJ95" s="76">
        <f t="shared" si="96"/>
        <v>25.782767292159921</v>
      </c>
      <c r="AK95" s="76">
        <f t="shared" ref="AK95:AK126" si="108">(AU95/AU$118)*100</f>
        <v>61.296902687661294</v>
      </c>
      <c r="AL95" s="76">
        <f t="shared" si="97"/>
        <v>22.998007912715345</v>
      </c>
      <c r="AM95" s="76"/>
      <c r="AN95" s="76"/>
      <c r="AO95" s="76">
        <f t="shared" si="98"/>
        <v>5.0157728706624605E-2</v>
      </c>
      <c r="AP95" s="76">
        <f t="shared" si="99"/>
        <v>1.1208952485782426E-2</v>
      </c>
      <c r="AQ95" s="76">
        <f t="shared" si="107"/>
        <v>0.16715717072848121</v>
      </c>
      <c r="AR95" s="76">
        <f t="shared" si="100"/>
        <v>3.045009039870587E-2</v>
      </c>
      <c r="AS95" s="76">
        <f t="shared" si="101"/>
        <v>3.3311011904761907</v>
      </c>
      <c r="AT95" s="76">
        <f t="shared" si="102"/>
        <v>2.4704114221303777E-2</v>
      </c>
      <c r="AU95" s="76">
        <f t="shared" ref="AU95:AU126" si="109">BE95/BO95</f>
        <v>1.8115942028985508E-2</v>
      </c>
      <c r="AV95" s="76">
        <f t="shared" si="103"/>
        <v>1.7491007194244606E-2</v>
      </c>
      <c r="AW95" s="76"/>
      <c r="AY95" s="97">
        <v>477</v>
      </c>
      <c r="AZ95" s="97">
        <v>1833</v>
      </c>
      <c r="BA95" s="97">
        <v>5055</v>
      </c>
      <c r="BB95" s="97">
        <v>320</v>
      </c>
      <c r="BC95" s="97">
        <v>22385</v>
      </c>
      <c r="BD95" s="97">
        <v>526</v>
      </c>
      <c r="BE95" s="97">
        <v>425</v>
      </c>
      <c r="BF95" s="97">
        <v>389</v>
      </c>
      <c r="BG95" s="97"/>
      <c r="BI95" s="99">
        <v>9510</v>
      </c>
      <c r="BJ95" s="99">
        <v>163530</v>
      </c>
      <c r="BK95" s="99">
        <v>30241</v>
      </c>
      <c r="BL95" s="99">
        <v>10509</v>
      </c>
      <c r="BM95" s="99">
        <v>6720</v>
      </c>
      <c r="BN95" s="99">
        <v>21292</v>
      </c>
      <c r="BO95" s="99">
        <v>23460</v>
      </c>
      <c r="BP95" s="99">
        <v>22240</v>
      </c>
      <c r="BQ95" s="101"/>
    </row>
    <row r="96" spans="1:69">
      <c r="A96" s="4">
        <v>1896</v>
      </c>
      <c r="B96" s="95">
        <f t="shared" si="104"/>
        <v>74.436010159813819</v>
      </c>
      <c r="M96" s="51">
        <f t="shared" si="82"/>
        <v>78.253453589965915</v>
      </c>
      <c r="N96" s="51">
        <f t="shared" si="105"/>
        <v>82.108921286962811</v>
      </c>
      <c r="U96" s="76">
        <f t="shared" si="83"/>
        <v>1.3111726685133888E-2</v>
      </c>
      <c r="V96" s="76">
        <f t="shared" si="84"/>
        <v>6.2271468144044322E-2</v>
      </c>
      <c r="W96" s="76">
        <f t="shared" si="85"/>
        <v>0.13939058171745153</v>
      </c>
      <c r="X96" s="76">
        <f t="shared" si="86"/>
        <v>9.7137580794090482E-3</v>
      </c>
      <c r="Y96" s="76">
        <f t="shared" si="87"/>
        <v>0.72624192059095105</v>
      </c>
      <c r="Z96" s="76">
        <f t="shared" si="88"/>
        <v>2.3268698060941829E-2</v>
      </c>
      <c r="AA96" s="76">
        <f t="shared" si="89"/>
        <v>1.3813481071098799E-2</v>
      </c>
      <c r="AB96" s="76">
        <f t="shared" si="90"/>
        <v>1.218836565096953E-2</v>
      </c>
      <c r="AC96" s="76">
        <f t="shared" si="91"/>
        <v>0</v>
      </c>
      <c r="AE96" s="76">
        <f t="shared" si="92"/>
        <v>24.377659816662593</v>
      </c>
      <c r="AF96" s="76">
        <f t="shared" si="93"/>
        <v>20.657140274774157</v>
      </c>
      <c r="AG96" s="76">
        <f t="shared" si="106"/>
        <v>71.107808724144121</v>
      </c>
      <c r="AH96" s="76">
        <f t="shared" si="94"/>
        <v>56.905817818193626</v>
      </c>
      <c r="AI96" s="76">
        <f t="shared" si="95"/>
        <v>113.81685929899785</v>
      </c>
      <c r="AJ96" s="76">
        <f t="shared" si="96"/>
        <v>26.682396800228048</v>
      </c>
      <c r="AK96" s="76">
        <f t="shared" si="108"/>
        <v>45.921627775383008</v>
      </c>
      <c r="AL96" s="76">
        <f t="shared" si="97"/>
        <v>26.928547798429442</v>
      </c>
      <c r="AM96" s="76"/>
      <c r="AN96" s="76"/>
      <c r="AO96" s="76">
        <f t="shared" si="98"/>
        <v>4.9244000554861979E-2</v>
      </c>
      <c r="AP96" s="76">
        <f t="shared" si="99"/>
        <v>9.7520909732424828E-3</v>
      </c>
      <c r="AQ96" s="76">
        <f t="shared" si="107"/>
        <v>0.13181056160938809</v>
      </c>
      <c r="AR96" s="76">
        <f t="shared" si="100"/>
        <v>2.9333035913450815E-2</v>
      </c>
      <c r="AS96" s="76">
        <f t="shared" si="101"/>
        <v>2.9156287069988136</v>
      </c>
      <c r="AT96" s="76">
        <f t="shared" si="102"/>
        <v>2.5566106647187729E-2</v>
      </c>
      <c r="AU96" s="76">
        <f t="shared" si="109"/>
        <v>1.3571869216533004E-2</v>
      </c>
      <c r="AV96" s="76">
        <f t="shared" si="103"/>
        <v>2.0480357475330477E-2</v>
      </c>
      <c r="AW96" s="76"/>
      <c r="AY96" s="97">
        <v>355</v>
      </c>
      <c r="AZ96" s="97">
        <v>1686</v>
      </c>
      <c r="BA96" s="97">
        <v>3774</v>
      </c>
      <c r="BB96" s="97">
        <v>263</v>
      </c>
      <c r="BC96" s="97">
        <v>19663</v>
      </c>
      <c r="BD96" s="97">
        <v>630</v>
      </c>
      <c r="BE96" s="97">
        <v>374</v>
      </c>
      <c r="BF96" s="97">
        <v>330</v>
      </c>
      <c r="BG96" s="97"/>
      <c r="BI96" s="99">
        <v>7209</v>
      </c>
      <c r="BJ96" s="99">
        <v>172886</v>
      </c>
      <c r="BK96" s="99">
        <v>28632</v>
      </c>
      <c r="BL96" s="99">
        <v>8966</v>
      </c>
      <c r="BM96" s="99">
        <v>6744</v>
      </c>
      <c r="BN96" s="99">
        <v>24642</v>
      </c>
      <c r="BO96" s="99">
        <v>27557</v>
      </c>
      <c r="BP96" s="99">
        <v>16113</v>
      </c>
      <c r="BQ96" s="101"/>
    </row>
    <row r="97" spans="1:69">
      <c r="A97" s="4">
        <v>1897</v>
      </c>
      <c r="B97" s="95">
        <f t="shared" si="104"/>
        <v>54.568803206381233</v>
      </c>
      <c r="M97" s="51">
        <f t="shared" si="82"/>
        <v>55.828878862422691</v>
      </c>
      <c r="N97" s="51">
        <f t="shared" si="105"/>
        <v>61.852554210309314</v>
      </c>
      <c r="U97" s="76">
        <f t="shared" si="83"/>
        <v>2.4021495027269812E-2</v>
      </c>
      <c r="V97" s="76">
        <f t="shared" si="84"/>
        <v>4.9526788578761631E-2</v>
      </c>
      <c r="W97" s="76">
        <f t="shared" si="85"/>
        <v>0.1697144690407443</v>
      </c>
      <c r="X97" s="76">
        <f t="shared" si="86"/>
        <v>1.4436958614051972E-2</v>
      </c>
      <c r="Y97" s="76">
        <f t="shared" si="87"/>
        <v>0.66193455245428301</v>
      </c>
      <c r="Z97" s="76">
        <f t="shared" si="88"/>
        <v>2.5465190888675007E-2</v>
      </c>
      <c r="AA97" s="76">
        <f t="shared" si="89"/>
        <v>1.8447224895733076E-2</v>
      </c>
      <c r="AB97" s="76">
        <f t="shared" si="90"/>
        <v>3.645332050048123E-2</v>
      </c>
      <c r="AC97" s="76">
        <f t="shared" si="91"/>
        <v>0</v>
      </c>
      <c r="AE97" s="76">
        <f t="shared" si="92"/>
        <v>25.785031530036505</v>
      </c>
      <c r="AF97" s="76">
        <f t="shared" si="93"/>
        <v>20.483666962425858</v>
      </c>
      <c r="AG97" s="76">
        <f t="shared" si="106"/>
        <v>71.981458459469025</v>
      </c>
      <c r="AH97" s="76">
        <f t="shared" si="94"/>
        <v>66.723670925517013</v>
      </c>
      <c r="AI97" s="76">
        <f t="shared" si="95"/>
        <v>68.09063438988143</v>
      </c>
      <c r="AJ97" s="76">
        <f t="shared" si="96"/>
        <v>24.070240671599528</v>
      </c>
      <c r="AK97" s="76">
        <f t="shared" si="108"/>
        <v>53.153847177279403</v>
      </c>
      <c r="AL97" s="76">
        <f t="shared" si="97"/>
        <v>48.071287482625287</v>
      </c>
      <c r="AM97" s="76"/>
      <c r="AN97" s="76"/>
      <c r="AO97" s="76">
        <f t="shared" si="98"/>
        <v>5.2086956521739128E-2</v>
      </c>
      <c r="AP97" s="76">
        <f t="shared" si="99"/>
        <v>9.6701954397394145E-3</v>
      </c>
      <c r="AQ97" s="76">
        <f t="shared" si="107"/>
        <v>0.13343002175489485</v>
      </c>
      <c r="AR97" s="76">
        <f t="shared" si="100"/>
        <v>3.4393809114359415E-2</v>
      </c>
      <c r="AS97" s="76">
        <f t="shared" si="101"/>
        <v>1.744267145725457</v>
      </c>
      <c r="AT97" s="76">
        <f t="shared" si="102"/>
        <v>2.3063233211055825E-2</v>
      </c>
      <c r="AU97" s="76">
        <f t="shared" si="109"/>
        <v>1.5709309473396625E-2</v>
      </c>
      <c r="AV97" s="76">
        <f t="shared" si="103"/>
        <v>3.656035072195632E-2</v>
      </c>
      <c r="AW97" s="76"/>
      <c r="AY97" s="97">
        <v>599</v>
      </c>
      <c r="AZ97" s="97">
        <v>1235</v>
      </c>
      <c r="BA97" s="97">
        <v>4232</v>
      </c>
      <c r="BB97" s="97">
        <v>360</v>
      </c>
      <c r="BC97" s="97">
        <v>16506</v>
      </c>
      <c r="BD97" s="97">
        <v>635</v>
      </c>
      <c r="BE97" s="97">
        <v>460</v>
      </c>
      <c r="BF97" s="97">
        <v>909</v>
      </c>
      <c r="BG97" s="97"/>
      <c r="BI97" s="99">
        <v>11500</v>
      </c>
      <c r="BJ97" s="99">
        <v>127712</v>
      </c>
      <c r="BK97" s="99">
        <v>31717</v>
      </c>
      <c r="BL97" s="99">
        <v>10467</v>
      </c>
      <c r="BM97" s="99">
        <v>9463</v>
      </c>
      <c r="BN97" s="99">
        <v>27533</v>
      </c>
      <c r="BO97" s="99">
        <v>29282</v>
      </c>
      <c r="BP97" s="99">
        <v>24863</v>
      </c>
      <c r="BQ97" s="101"/>
    </row>
    <row r="98" spans="1:69">
      <c r="A98" s="4">
        <v>1898</v>
      </c>
      <c r="B98" s="95">
        <f t="shared" si="104"/>
        <v>51.593908586456529</v>
      </c>
      <c r="M98" s="51">
        <f t="shared" si="82"/>
        <v>51.896146215479398</v>
      </c>
      <c r="N98" s="51">
        <f t="shared" si="105"/>
        <v>59.482530822618763</v>
      </c>
      <c r="U98" s="76">
        <f t="shared" si="83"/>
        <v>1.3226621735467564E-2</v>
      </c>
      <c r="V98" s="76">
        <f t="shared" si="84"/>
        <v>6.1078348778433024E-2</v>
      </c>
      <c r="W98" s="76">
        <f t="shared" si="85"/>
        <v>0.22430497051390058</v>
      </c>
      <c r="X98" s="76">
        <f t="shared" si="86"/>
        <v>2.329401853411963E-2</v>
      </c>
      <c r="Y98" s="76">
        <f t="shared" si="87"/>
        <v>0.58256107834877846</v>
      </c>
      <c r="Z98" s="76">
        <f t="shared" si="88"/>
        <v>2.9780960404380791E-2</v>
      </c>
      <c r="AA98" s="76">
        <f t="shared" si="89"/>
        <v>1.8660488626790227E-2</v>
      </c>
      <c r="AB98" s="76">
        <f t="shared" si="90"/>
        <v>4.7093513058129741E-2</v>
      </c>
      <c r="AC98" s="76">
        <f t="shared" si="91"/>
        <v>0</v>
      </c>
      <c r="AE98" s="76">
        <f t="shared" si="92"/>
        <v>19.261708145331401</v>
      </c>
      <c r="AF98" s="76">
        <f t="shared" si="93"/>
        <v>24.283141212482359</v>
      </c>
      <c r="AG98" s="76">
        <f t="shared" si="106"/>
        <v>90.148632968338802</v>
      </c>
      <c r="AH98" s="76">
        <f t="shared" si="94"/>
        <v>95.192091826455368</v>
      </c>
      <c r="AI98" s="76">
        <f t="shared" si="95"/>
        <v>58.258244901968112</v>
      </c>
      <c r="AJ98" s="76">
        <f t="shared" si="96"/>
        <v>25.316326927679491</v>
      </c>
      <c r="AK98" s="76">
        <f t="shared" si="108"/>
        <v>50.212044069509389</v>
      </c>
      <c r="AL98" s="76">
        <f t="shared" si="97"/>
        <v>43.532325222361564</v>
      </c>
      <c r="AM98" s="76"/>
      <c r="AN98" s="76"/>
      <c r="AO98" s="76">
        <f t="shared" si="98"/>
        <v>3.8909541511771992E-2</v>
      </c>
      <c r="AP98" s="76">
        <f t="shared" si="99"/>
        <v>1.1463900572404415E-2</v>
      </c>
      <c r="AQ98" s="76">
        <f t="shared" si="107"/>
        <v>0.16710600640180756</v>
      </c>
      <c r="AR98" s="76">
        <f t="shared" si="100"/>
        <v>4.9068322981366458E-2</v>
      </c>
      <c r="AS98" s="76">
        <f t="shared" si="101"/>
        <v>1.4923923599870508</v>
      </c>
      <c r="AT98" s="76">
        <f t="shared" si="102"/>
        <v>2.4257187950319083E-2</v>
      </c>
      <c r="AU98" s="76">
        <f t="shared" si="109"/>
        <v>1.4839876725177543E-2</v>
      </c>
      <c r="AV98" s="76">
        <f t="shared" si="103"/>
        <v>3.310826818289505E-2</v>
      </c>
      <c r="AW98" s="76"/>
      <c r="AY98" s="97">
        <v>314</v>
      </c>
      <c r="AZ98" s="97">
        <v>1450</v>
      </c>
      <c r="BA98" s="97">
        <v>5325</v>
      </c>
      <c r="BB98" s="97">
        <v>553</v>
      </c>
      <c r="BC98" s="97">
        <v>13830</v>
      </c>
      <c r="BD98" s="97">
        <v>707</v>
      </c>
      <c r="BE98" s="97">
        <v>443</v>
      </c>
      <c r="BF98" s="97">
        <v>1118</v>
      </c>
      <c r="BG98" s="97"/>
      <c r="BI98" s="99">
        <v>8070</v>
      </c>
      <c r="BJ98" s="99">
        <v>126484</v>
      </c>
      <c r="BK98" s="99">
        <v>31866</v>
      </c>
      <c r="BL98" s="99">
        <v>11270</v>
      </c>
      <c r="BM98" s="99">
        <v>9267</v>
      </c>
      <c r="BN98" s="99">
        <v>29146</v>
      </c>
      <c r="BO98" s="99">
        <v>29852</v>
      </c>
      <c r="BP98" s="99">
        <v>33768</v>
      </c>
      <c r="BQ98" s="101"/>
    </row>
    <row r="99" spans="1:69">
      <c r="A99" s="4">
        <v>1899</v>
      </c>
      <c r="B99" s="95">
        <f t="shared" si="104"/>
        <v>53.056484190666779</v>
      </c>
      <c r="M99" s="51">
        <f t="shared" si="82"/>
        <v>53.197076664293149</v>
      </c>
      <c r="N99" s="51">
        <f t="shared" si="105"/>
        <v>61.364451368552075</v>
      </c>
      <c r="U99" s="76">
        <f t="shared" si="83"/>
        <v>6.070116034190858E-3</v>
      </c>
      <c r="V99" s="76">
        <f t="shared" si="84"/>
        <v>2.6510302679935583E-2</v>
      </c>
      <c r="W99" s="76">
        <f t="shared" si="85"/>
        <v>0.25296279473097411</v>
      </c>
      <c r="X99" s="76">
        <f t="shared" si="86"/>
        <v>2.4321757443118472E-2</v>
      </c>
      <c r="Y99" s="76">
        <f t="shared" si="87"/>
        <v>0.59705991658752111</v>
      </c>
      <c r="Z99" s="76">
        <f t="shared" si="88"/>
        <v>4.5050997233348475E-2</v>
      </c>
      <c r="AA99" s="76">
        <f t="shared" si="89"/>
        <v>1.9614320518643927E-2</v>
      </c>
      <c r="AB99" s="76">
        <f t="shared" si="90"/>
        <v>2.8409794772267415E-2</v>
      </c>
      <c r="AC99" s="76">
        <f t="shared" si="91"/>
        <v>0</v>
      </c>
      <c r="AE99" s="76">
        <f t="shared" si="92"/>
        <v>19.467793121193928</v>
      </c>
      <c r="AF99" s="76">
        <f t="shared" si="93"/>
        <v>27.05302764578817</v>
      </c>
      <c r="AG99" s="76">
        <f t="shared" si="106"/>
        <v>93.374158613225745</v>
      </c>
      <c r="AH99" s="76">
        <f t="shared" si="94"/>
        <v>89.32571460615155</v>
      </c>
      <c r="AI99" s="76">
        <f t="shared" si="95"/>
        <v>57.766176678541939</v>
      </c>
      <c r="AJ99" s="76">
        <f t="shared" si="96"/>
        <v>36.26691983554575</v>
      </c>
      <c r="AK99" s="76">
        <f t="shared" si="108"/>
        <v>51.959290976027383</v>
      </c>
      <c r="AL99" s="76">
        <f t="shared" si="97"/>
        <v>61.942968548499053</v>
      </c>
      <c r="AM99" s="76"/>
      <c r="AN99" s="76"/>
      <c r="AO99" s="76">
        <f t="shared" si="98"/>
        <v>3.9325842696629212E-2</v>
      </c>
      <c r="AP99" s="76">
        <f t="shared" si="99"/>
        <v>1.2771544521365481E-2</v>
      </c>
      <c r="AQ99" s="76">
        <f t="shared" si="107"/>
        <v>0.17308507331958298</v>
      </c>
      <c r="AR99" s="76">
        <f t="shared" si="100"/>
        <v>4.6044402751719823E-2</v>
      </c>
      <c r="AS99" s="76">
        <f t="shared" si="101"/>
        <v>1.4797871251663084</v>
      </c>
      <c r="AT99" s="76">
        <f t="shared" si="102"/>
        <v>3.4749649636896418E-2</v>
      </c>
      <c r="AU99" s="76">
        <f t="shared" si="109"/>
        <v>1.5356265356265357E-2</v>
      </c>
      <c r="AV99" s="76">
        <f t="shared" si="103"/>
        <v>4.7110380717611616E-2</v>
      </c>
      <c r="AW99" s="76"/>
      <c r="AY99" s="97">
        <v>147</v>
      </c>
      <c r="AZ99" s="97">
        <v>642</v>
      </c>
      <c r="BA99" s="97">
        <v>6126</v>
      </c>
      <c r="BB99" s="97">
        <v>589</v>
      </c>
      <c r="BC99" s="97">
        <v>14459</v>
      </c>
      <c r="BD99" s="97">
        <v>1091</v>
      </c>
      <c r="BE99" s="97">
        <v>475</v>
      </c>
      <c r="BF99" s="97">
        <v>688</v>
      </c>
      <c r="BG99" s="97"/>
      <c r="BI99" s="99">
        <v>3738</v>
      </c>
      <c r="BJ99" s="99">
        <v>50268</v>
      </c>
      <c r="BK99" s="99">
        <v>35393</v>
      </c>
      <c r="BL99" s="99">
        <v>12792</v>
      </c>
      <c r="BM99" s="99">
        <v>9771</v>
      </c>
      <c r="BN99" s="99">
        <v>31396</v>
      </c>
      <c r="BO99" s="99">
        <v>30932</v>
      </c>
      <c r="BP99" s="99">
        <v>14604</v>
      </c>
      <c r="BQ99" s="101"/>
    </row>
    <row r="100" spans="1:69" ht="15" customHeight="1">
      <c r="A100" s="4">
        <v>1900</v>
      </c>
      <c r="B100" s="95">
        <f t="shared" si="104"/>
        <v>69.164725680209415</v>
      </c>
      <c r="M100" s="51">
        <f t="shared" si="82"/>
        <v>70.280834513552676</v>
      </c>
      <c r="N100" s="51">
        <f t="shared" si="105"/>
        <v>78.9332700331897</v>
      </c>
      <c r="U100" s="76">
        <f t="shared" si="83"/>
        <v>3.6180682606775601E-2</v>
      </c>
      <c r="V100" s="76">
        <f t="shared" si="84"/>
        <v>4.5139107942716548E-2</v>
      </c>
      <c r="W100" s="76">
        <f t="shared" si="85"/>
        <v>0.20500283893760646</v>
      </c>
      <c r="X100" s="76">
        <f t="shared" si="86"/>
        <v>2.3090025865875968E-2</v>
      </c>
      <c r="Y100" s="76">
        <f t="shared" si="87"/>
        <v>0.5958299160936219</v>
      </c>
      <c r="Z100" s="76">
        <f t="shared" si="88"/>
        <v>3.21115387041827E-2</v>
      </c>
      <c r="AA100" s="76">
        <f t="shared" si="89"/>
        <v>2.1323575799634092E-2</v>
      </c>
      <c r="AB100" s="76">
        <f t="shared" si="90"/>
        <v>4.1322314049586778E-2</v>
      </c>
      <c r="AC100" s="76">
        <f t="shared" si="91"/>
        <v>0</v>
      </c>
      <c r="AE100" s="76">
        <f t="shared" si="92"/>
        <v>27.403898582333696</v>
      </c>
      <c r="AF100" s="76">
        <f t="shared" si="93"/>
        <v>32.880445657480848</v>
      </c>
      <c r="AG100" s="76">
        <f t="shared" si="106"/>
        <v>100.28643612424062</v>
      </c>
      <c r="AH100" s="76">
        <f t="shared" si="94"/>
        <v>92.428613378071205</v>
      </c>
      <c r="AI100" s="76">
        <f t="shared" si="95"/>
        <v>80.542479964545748</v>
      </c>
      <c r="AJ100" s="76">
        <f t="shared" si="96"/>
        <v>40.165160443135186</v>
      </c>
      <c r="AK100" s="76">
        <f t="shared" si="108"/>
        <v>67.289544103630803</v>
      </c>
      <c r="AL100" s="76">
        <f t="shared" si="97"/>
        <v>80.07672186096427</v>
      </c>
      <c r="AM100" s="76"/>
      <c r="AN100" s="76"/>
      <c r="AO100" s="76">
        <f t="shared" si="98"/>
        <v>5.5357142857142855E-2</v>
      </c>
      <c r="AP100" s="76">
        <f t="shared" si="99"/>
        <v>1.5522627673883802E-2</v>
      </c>
      <c r="AQ100" s="76">
        <f t="shared" si="107"/>
        <v>0.18589816933638445</v>
      </c>
      <c r="AR100" s="76">
        <f t="shared" si="100"/>
        <v>4.7643842749284043E-2</v>
      </c>
      <c r="AS100" s="76">
        <f t="shared" si="101"/>
        <v>2.0632441288913164</v>
      </c>
      <c r="AT100" s="76">
        <f t="shared" si="102"/>
        <v>3.8484802661424469E-2</v>
      </c>
      <c r="AU100" s="76">
        <f t="shared" si="109"/>
        <v>1.9887032242880676E-2</v>
      </c>
      <c r="AV100" s="76">
        <f t="shared" si="103"/>
        <v>6.0901906090190611E-2</v>
      </c>
      <c r="AW100" s="76"/>
      <c r="AY100" s="97">
        <v>1147</v>
      </c>
      <c r="AZ100" s="97">
        <v>1431</v>
      </c>
      <c r="BA100" s="97">
        <v>6499</v>
      </c>
      <c r="BB100" s="97">
        <v>732</v>
      </c>
      <c r="BC100" s="97">
        <v>18889</v>
      </c>
      <c r="BD100" s="97">
        <v>1018</v>
      </c>
      <c r="BE100" s="97">
        <v>676</v>
      </c>
      <c r="BF100" s="97">
        <v>1310</v>
      </c>
      <c r="BG100" s="97"/>
      <c r="BI100" s="99">
        <v>20720</v>
      </c>
      <c r="BJ100" s="99">
        <v>92188</v>
      </c>
      <c r="BK100" s="99">
        <v>34960</v>
      </c>
      <c r="BL100" s="99">
        <v>15364</v>
      </c>
      <c r="BM100" s="99">
        <v>9155</v>
      </c>
      <c r="BN100" s="99">
        <v>26452</v>
      </c>
      <c r="BO100" s="99">
        <v>33992</v>
      </c>
      <c r="BP100" s="99">
        <v>21510</v>
      </c>
      <c r="BQ100" s="101"/>
    </row>
    <row r="101" spans="1:69">
      <c r="A101" s="4">
        <v>1901</v>
      </c>
      <c r="B101" s="95">
        <f t="shared" ref="B101:B110" si="110">(GEOMEAN(N101:O101)/GEOMEAN(N$111:O$111))*B$111</f>
        <v>58.526901975005636</v>
      </c>
      <c r="M101" s="51">
        <f t="shared" si="82"/>
        <v>56.77392228037715</v>
      </c>
      <c r="N101" s="51">
        <f t="shared" si="105"/>
        <v>69.966453443067991</v>
      </c>
      <c r="O101" s="51">
        <f t="shared" ref="O101:O121" si="111">(AF101^V$14)*(AH101^X$14)*(AI101^Y$14)*(AJ101^Z$14)*(AL101^AB$14)*(AG101^W$14)*(AK101^AA$14)*(AE101^U$14)</f>
        <v>73.430846224396845</v>
      </c>
      <c r="P101" s="51"/>
      <c r="R101" s="51"/>
      <c r="S101" s="51"/>
      <c r="U101" s="76">
        <f t="shared" si="83"/>
        <v>1.153010354084111E-2</v>
      </c>
      <c r="V101" s="76">
        <f t="shared" si="84"/>
        <v>3.9652307298990157E-2</v>
      </c>
      <c r="W101" s="76">
        <f t="shared" si="85"/>
        <v>0.22055477438322893</v>
      </c>
      <c r="X101" s="76">
        <f t="shared" si="86"/>
        <v>2.1654096893774767E-2</v>
      </c>
      <c r="Y101" s="76">
        <f t="shared" si="87"/>
        <v>0.61303847628786912</v>
      </c>
      <c r="Z101" s="76">
        <f t="shared" si="88"/>
        <v>2.7329668924964846E-2</v>
      </c>
      <c r="AA101" s="76">
        <f t="shared" si="89"/>
        <v>2.3929438834206826E-2</v>
      </c>
      <c r="AB101" s="76">
        <f t="shared" si="90"/>
        <v>4.2311133836124247E-2</v>
      </c>
      <c r="AC101" s="76">
        <f t="shared" si="91"/>
        <v>0</v>
      </c>
      <c r="AE101" s="76">
        <f t="shared" si="92"/>
        <v>18.976813747595241</v>
      </c>
      <c r="AF101" s="76">
        <f t="shared" si="93"/>
        <v>17.553240107964381</v>
      </c>
      <c r="AG101" s="76">
        <f t="shared" si="106"/>
        <v>127.54194033163471</v>
      </c>
      <c r="AH101" s="76">
        <f t="shared" si="94"/>
        <v>104.78077733318567</v>
      </c>
      <c r="AI101" s="76">
        <f t="shared" si="95"/>
        <v>63.418956227532973</v>
      </c>
      <c r="AJ101" s="76">
        <f t="shared" si="96"/>
        <v>46.808291652322261</v>
      </c>
      <c r="AK101" s="76">
        <f t="shared" si="108"/>
        <v>79.400289080250033</v>
      </c>
      <c r="AL101" s="76">
        <f t="shared" si="97"/>
        <v>65.0136742588505</v>
      </c>
      <c r="AM101" s="76"/>
      <c r="AN101" s="76"/>
      <c r="AO101" s="76">
        <f t="shared" si="98"/>
        <v>3.8334041648958775E-2</v>
      </c>
      <c r="AP101" s="76">
        <f t="shared" si="99"/>
        <v>8.2867614844576477E-3</v>
      </c>
      <c r="AQ101" s="76">
        <f t="shared" si="107"/>
        <v>0.2364209372430803</v>
      </c>
      <c r="AR101" s="76">
        <f t="shared" si="100"/>
        <v>5.4010967988776942E-2</v>
      </c>
      <c r="AS101" s="76">
        <f t="shared" si="101"/>
        <v>1.6245934959349593</v>
      </c>
      <c r="AT101" s="76">
        <f t="shared" si="102"/>
        <v>4.4850010488777008E-2</v>
      </c>
      <c r="AU101" s="76">
        <f t="shared" si="109"/>
        <v>2.3466292275678792E-2</v>
      </c>
      <c r="AV101" s="76">
        <f t="shared" si="103"/>
        <v>4.9445788891876549E-2</v>
      </c>
      <c r="AW101" s="76"/>
      <c r="AY101" s="97">
        <v>451</v>
      </c>
      <c r="AZ101" s="97">
        <v>1551</v>
      </c>
      <c r="BA101" s="97">
        <v>8627</v>
      </c>
      <c r="BB101" s="97">
        <v>847</v>
      </c>
      <c r="BC101" s="97">
        <v>23979</v>
      </c>
      <c r="BD101" s="97">
        <v>1069</v>
      </c>
      <c r="BE101" s="97">
        <v>936</v>
      </c>
      <c r="BF101" s="97">
        <v>1655</v>
      </c>
      <c r="BG101" s="97"/>
      <c r="BI101" s="99">
        <v>11765</v>
      </c>
      <c r="BJ101" s="99">
        <v>187166</v>
      </c>
      <c r="BK101" s="99">
        <v>36490</v>
      </c>
      <c r="BL101" s="99">
        <v>15682</v>
      </c>
      <c r="BM101" s="99">
        <v>14760</v>
      </c>
      <c r="BN101" s="99">
        <v>23835</v>
      </c>
      <c r="BO101" s="99">
        <v>39887</v>
      </c>
      <c r="BP101" s="99">
        <v>33471</v>
      </c>
      <c r="BQ101" s="101"/>
    </row>
    <row r="102" spans="1:69">
      <c r="A102" s="4">
        <v>1902</v>
      </c>
      <c r="B102" s="95">
        <f t="shared" si="110"/>
        <v>53.151060356377535</v>
      </c>
      <c r="N102" s="51">
        <f t="shared" si="105"/>
        <v>62.875100115514144</v>
      </c>
      <c r="O102" s="51">
        <f t="shared" si="111"/>
        <v>67.39109264349382</v>
      </c>
      <c r="P102" s="51"/>
      <c r="R102" s="51"/>
      <c r="S102" s="51"/>
      <c r="U102" s="76">
        <f t="shared" si="83"/>
        <v>3.4795676550488409E-2</v>
      </c>
      <c r="V102" s="76">
        <f t="shared" si="84"/>
        <v>2.7050459511010923E-2</v>
      </c>
      <c r="W102" s="76">
        <f t="shared" si="85"/>
        <v>0.21079706375354026</v>
      </c>
      <c r="X102" s="76">
        <f t="shared" si="86"/>
        <v>2.9535864978902954E-2</v>
      </c>
      <c r="Y102" s="76">
        <f t="shared" si="87"/>
        <v>0.58745159239350331</v>
      </c>
      <c r="Z102" s="76">
        <f t="shared" si="88"/>
        <v>4.4188197214033872E-2</v>
      </c>
      <c r="AA102" s="76">
        <f t="shared" si="89"/>
        <v>3.1327668920871625E-2</v>
      </c>
      <c r="AB102" s="76">
        <f t="shared" si="90"/>
        <v>3.4853476677648688E-2</v>
      </c>
      <c r="AC102" s="76">
        <f t="shared" si="91"/>
        <v>0</v>
      </c>
      <c r="AE102" s="76">
        <f t="shared" si="92"/>
        <v>18.545832167480032</v>
      </c>
      <c r="AF102" s="76">
        <f t="shared" si="93"/>
        <v>14.49768763169893</v>
      </c>
      <c r="AG102" s="76">
        <f t="shared" si="106"/>
        <v>102.99147375079991</v>
      </c>
      <c r="AH102" s="76">
        <f t="shared" si="94"/>
        <v>96.050311416864361</v>
      </c>
      <c r="AI102" s="76">
        <f t="shared" si="95"/>
        <v>60.310203273329968</v>
      </c>
      <c r="AJ102" s="76">
        <f t="shared" si="96"/>
        <v>55.423748327545496</v>
      </c>
      <c r="AK102" s="76">
        <f t="shared" si="108"/>
        <v>87.476698865726604</v>
      </c>
      <c r="AL102" s="76">
        <f t="shared" si="97"/>
        <v>35.08199429842913</v>
      </c>
      <c r="AM102" s="76"/>
      <c r="AN102" s="76"/>
      <c r="AO102" s="76">
        <f t="shared" si="98"/>
        <v>3.7463438919658969E-2</v>
      </c>
      <c r="AP102" s="76">
        <f t="shared" si="99"/>
        <v>6.8442566011246223E-3</v>
      </c>
      <c r="AQ102" s="76">
        <f t="shared" si="107"/>
        <v>0.19091242213264933</v>
      </c>
      <c r="AR102" s="76">
        <f t="shared" si="100"/>
        <v>4.9510706326906309E-2</v>
      </c>
      <c r="AS102" s="76">
        <f t="shared" si="101"/>
        <v>1.5449570570798814</v>
      </c>
      <c r="AT102" s="76">
        <f t="shared" si="102"/>
        <v>5.3105029174770772E-2</v>
      </c>
      <c r="AU102" s="76">
        <f t="shared" si="109"/>
        <v>2.5853228076033293E-2</v>
      </c>
      <c r="AV102" s="76">
        <f t="shared" si="103"/>
        <v>2.668141592920354E-2</v>
      </c>
      <c r="AW102" s="76"/>
      <c r="AY102" s="97">
        <v>1204</v>
      </c>
      <c r="AZ102" s="97">
        <v>936</v>
      </c>
      <c r="BA102" s="97">
        <v>7294</v>
      </c>
      <c r="BB102" s="97">
        <v>1022</v>
      </c>
      <c r="BC102" s="97">
        <v>20327</v>
      </c>
      <c r="BD102" s="97">
        <v>1529</v>
      </c>
      <c r="BE102" s="97">
        <v>1084</v>
      </c>
      <c r="BF102" s="97">
        <v>1206</v>
      </c>
      <c r="BG102" s="97"/>
      <c r="BI102" s="99">
        <v>32138</v>
      </c>
      <c r="BJ102" s="99">
        <v>136757</v>
      </c>
      <c r="BK102" s="99">
        <v>38206</v>
      </c>
      <c r="BL102" s="99">
        <v>20642</v>
      </c>
      <c r="BM102" s="99">
        <v>13157</v>
      </c>
      <c r="BN102" s="99">
        <v>28792</v>
      </c>
      <c r="BO102" s="99">
        <v>41929</v>
      </c>
      <c r="BP102" s="99">
        <v>45200</v>
      </c>
      <c r="BQ102" s="101"/>
    </row>
    <row r="103" spans="1:69">
      <c r="A103" s="4">
        <v>1903</v>
      </c>
      <c r="B103" s="95">
        <f t="shared" si="110"/>
        <v>55.781639417209</v>
      </c>
      <c r="N103" s="51">
        <f t="shared" si="105"/>
        <v>66.582343922487681</v>
      </c>
      <c r="O103" s="51">
        <f t="shared" si="111"/>
        <v>70.093991178923858</v>
      </c>
      <c r="P103" s="51"/>
      <c r="R103" s="51"/>
      <c r="S103" s="51"/>
      <c r="U103" s="76">
        <f t="shared" si="83"/>
        <v>3.805472522418947E-2</v>
      </c>
      <c r="V103" s="76">
        <f t="shared" si="84"/>
        <v>5.7197056794665441E-3</v>
      </c>
      <c r="W103" s="76">
        <f t="shared" si="85"/>
        <v>0.27977696022074039</v>
      </c>
      <c r="X103" s="76">
        <f t="shared" si="86"/>
        <v>2.9087146470452976E-2</v>
      </c>
      <c r="Y103" s="76">
        <f t="shared" si="87"/>
        <v>0.54828696252011955</v>
      </c>
      <c r="Z103" s="76">
        <f t="shared" si="88"/>
        <v>5.2339618303058173E-2</v>
      </c>
      <c r="AA103" s="76">
        <f t="shared" si="89"/>
        <v>1.9458496206024373E-2</v>
      </c>
      <c r="AB103" s="76">
        <f t="shared" si="90"/>
        <v>2.7276385375948495E-2</v>
      </c>
      <c r="AC103" s="76">
        <f t="shared" si="91"/>
        <v>0</v>
      </c>
      <c r="AE103" s="76">
        <f t="shared" si="92"/>
        <v>23.212584443658628</v>
      </c>
      <c r="AF103" s="76">
        <f t="shared" si="93"/>
        <v>19.257486843204326</v>
      </c>
      <c r="AG103" s="76">
        <f t="shared" si="106"/>
        <v>134.55296075023955</v>
      </c>
      <c r="AH103" s="76">
        <f t="shared" si="94"/>
        <v>93.936393346666023</v>
      </c>
      <c r="AI103" s="76">
        <f t="shared" si="95"/>
        <v>57.605499229153402</v>
      </c>
      <c r="AJ103" s="76">
        <f t="shared" si="96"/>
        <v>62.035191484091271</v>
      </c>
      <c r="AK103" s="76">
        <f t="shared" si="108"/>
        <v>63.401322230804801</v>
      </c>
      <c r="AL103" s="76">
        <f t="shared" si="97"/>
        <v>53.328930788129114</v>
      </c>
      <c r="AM103" s="76"/>
      <c r="AN103" s="76"/>
      <c r="AO103" s="76">
        <f t="shared" si="98"/>
        <v>4.6890494404306558E-2</v>
      </c>
      <c r="AP103" s="76">
        <f t="shared" si="99"/>
        <v>9.0913244095207641E-3</v>
      </c>
      <c r="AQ103" s="76">
        <f t="shared" si="107"/>
        <v>0.24941707023342813</v>
      </c>
      <c r="AR103" s="76">
        <f t="shared" si="100"/>
        <v>4.8421052631578948E-2</v>
      </c>
      <c r="AS103" s="76">
        <f t="shared" si="101"/>
        <v>1.4756710760423919</v>
      </c>
      <c r="AT103" s="76">
        <f t="shared" si="102"/>
        <v>5.9439874657265961E-2</v>
      </c>
      <c r="AU103" s="76">
        <f t="shared" si="109"/>
        <v>1.8737890949349571E-2</v>
      </c>
      <c r="AV103" s="76">
        <f t="shared" si="103"/>
        <v>4.0559022138644325E-2</v>
      </c>
      <c r="AW103" s="76"/>
      <c r="AY103" s="97">
        <v>1324</v>
      </c>
      <c r="AZ103" s="97">
        <v>199</v>
      </c>
      <c r="BA103" s="97">
        <v>9734</v>
      </c>
      <c r="BB103" s="97">
        <v>1012</v>
      </c>
      <c r="BC103" s="97">
        <v>19076</v>
      </c>
      <c r="BD103" s="97">
        <v>1821</v>
      </c>
      <c r="BE103" s="97">
        <v>677</v>
      </c>
      <c r="BF103" s="97">
        <v>949</v>
      </c>
      <c r="BG103" s="97"/>
      <c r="BI103" s="99">
        <v>28236</v>
      </c>
      <c r="BJ103" s="99">
        <v>21889</v>
      </c>
      <c r="BK103" s="99">
        <v>39027</v>
      </c>
      <c r="BL103" s="99">
        <v>20900</v>
      </c>
      <c r="BM103" s="99">
        <v>12927</v>
      </c>
      <c r="BN103" s="99">
        <v>30636</v>
      </c>
      <c r="BO103" s="99">
        <v>36130</v>
      </c>
      <c r="BP103" s="99">
        <v>23398</v>
      </c>
      <c r="BQ103" s="101"/>
    </row>
    <row r="104" spans="1:69">
      <c r="A104" s="4">
        <v>1904</v>
      </c>
      <c r="B104" s="95">
        <f t="shared" si="110"/>
        <v>70.544894630179883</v>
      </c>
      <c r="N104" s="51">
        <f t="shared" si="105"/>
        <v>83.921844491125711</v>
      </c>
      <c r="O104" s="51">
        <f t="shared" si="111"/>
        <v>88.943349214723071</v>
      </c>
      <c r="P104" s="51"/>
      <c r="R104" s="51"/>
      <c r="S104" s="51"/>
      <c r="U104" s="76">
        <f t="shared" si="83"/>
        <v>2.2092650048143789E-2</v>
      </c>
      <c r="V104" s="76">
        <f t="shared" si="84"/>
        <v>2.487429121643308E-3</v>
      </c>
      <c r="W104" s="76">
        <f t="shared" si="85"/>
        <v>0.30009628757890233</v>
      </c>
      <c r="X104" s="76">
        <f t="shared" si="86"/>
        <v>2.9314218465817908E-2</v>
      </c>
      <c r="Y104" s="76">
        <f t="shared" si="87"/>
        <v>0.53380763881459292</v>
      </c>
      <c r="Z104" s="76">
        <f t="shared" si="88"/>
        <v>6.3790521022788066E-2</v>
      </c>
      <c r="AA104" s="76">
        <f t="shared" si="89"/>
        <v>2.5970899753931742E-2</v>
      </c>
      <c r="AB104" s="76">
        <f t="shared" si="90"/>
        <v>2.2440355194179952E-2</v>
      </c>
      <c r="AC104" s="76">
        <f t="shared" si="91"/>
        <v>0</v>
      </c>
      <c r="AE104" s="76">
        <f t="shared" si="92"/>
        <v>30.830244041133774</v>
      </c>
      <c r="AF104" s="76">
        <f t="shared" si="93"/>
        <v>25.059800365850144</v>
      </c>
      <c r="AG104" s="76">
        <f t="shared" si="106"/>
        <v>157.02520105877517</v>
      </c>
      <c r="AH104" s="76">
        <f t="shared" si="94"/>
        <v>91.8061244579754</v>
      </c>
      <c r="AI104" s="76">
        <f t="shared" si="95"/>
        <v>77.715387493662774</v>
      </c>
      <c r="AJ104" s="76">
        <f t="shared" si="96"/>
        <v>69.221502193797363</v>
      </c>
      <c r="AK104" s="76">
        <f t="shared" si="108"/>
        <v>74.395746264582556</v>
      </c>
      <c r="AL104" s="76">
        <f t="shared" si="97"/>
        <v>46.033929742750814</v>
      </c>
      <c r="AM104" s="76"/>
      <c r="AN104" s="76"/>
      <c r="AO104" s="76">
        <f t="shared" si="98"/>
        <v>6.2278519188720502E-2</v>
      </c>
      <c r="AP104" s="76">
        <f t="shared" si="99"/>
        <v>1.1830555908917441E-2</v>
      </c>
      <c r="AQ104" s="76">
        <f t="shared" si="107"/>
        <v>0.29107323527122736</v>
      </c>
      <c r="AR104" s="76">
        <f t="shared" si="100"/>
        <v>4.7322970639032819E-2</v>
      </c>
      <c r="AS104" s="76">
        <f t="shared" si="101"/>
        <v>1.9908229426433914</v>
      </c>
      <c r="AT104" s="76">
        <f t="shared" si="102"/>
        <v>6.6325537417614502E-2</v>
      </c>
      <c r="AU104" s="76">
        <f t="shared" si="109"/>
        <v>2.1987228839273582E-2</v>
      </c>
      <c r="AV104" s="76">
        <f t="shared" si="103"/>
        <v>3.5010849607744948E-2</v>
      </c>
      <c r="AW104" s="76"/>
      <c r="AY104" s="97">
        <v>826</v>
      </c>
      <c r="AZ104" s="97">
        <v>93</v>
      </c>
      <c r="BA104" s="97">
        <v>11220</v>
      </c>
      <c r="BB104" s="97">
        <v>1096</v>
      </c>
      <c r="BC104" s="97">
        <v>19958</v>
      </c>
      <c r="BD104" s="97">
        <v>2385</v>
      </c>
      <c r="BE104" s="97">
        <v>971</v>
      </c>
      <c r="BF104" s="97">
        <v>839</v>
      </c>
      <c r="BG104" s="97"/>
      <c r="BI104" s="99">
        <v>13263</v>
      </c>
      <c r="BJ104" s="99">
        <v>7861</v>
      </c>
      <c r="BK104" s="99">
        <v>38547</v>
      </c>
      <c r="BL104" s="99">
        <v>23160</v>
      </c>
      <c r="BM104" s="99">
        <v>10025</v>
      </c>
      <c r="BN104" s="99">
        <v>35959</v>
      </c>
      <c r="BO104" s="99">
        <v>44162</v>
      </c>
      <c r="BP104" s="99">
        <v>23964</v>
      </c>
      <c r="BQ104" s="101"/>
    </row>
    <row r="105" spans="1:69">
      <c r="A105" s="4">
        <v>1905</v>
      </c>
      <c r="B105" s="95">
        <f t="shared" si="110"/>
        <v>75.873256338207867</v>
      </c>
      <c r="N105" s="51">
        <f t="shared" si="105"/>
        <v>90.045770082380344</v>
      </c>
      <c r="O105" s="51">
        <f t="shared" si="111"/>
        <v>95.889587834736403</v>
      </c>
      <c r="P105" s="51"/>
      <c r="R105" s="51"/>
      <c r="S105" s="51"/>
      <c r="U105" s="76">
        <f t="shared" si="83"/>
        <v>2.7333884102443053E-2</v>
      </c>
      <c r="V105" s="76">
        <f t="shared" si="84"/>
        <v>9.5833825091467019E-3</v>
      </c>
      <c r="W105" s="76">
        <f t="shared" si="85"/>
        <v>0.34028089224595776</v>
      </c>
      <c r="X105" s="76">
        <f t="shared" si="86"/>
        <v>2.454856603328219E-2</v>
      </c>
      <c r="Y105" s="76">
        <f t="shared" si="87"/>
        <v>0.50562964711436331</v>
      </c>
      <c r="Z105" s="76">
        <f t="shared" si="88"/>
        <v>4.3715331051575594E-2</v>
      </c>
      <c r="AA105" s="76">
        <f t="shared" si="89"/>
        <v>2.9434674849522013E-2</v>
      </c>
      <c r="AB105" s="76">
        <f t="shared" si="90"/>
        <v>1.9473622093709429E-2</v>
      </c>
      <c r="AC105" s="76">
        <f t="shared" si="91"/>
        <v>0</v>
      </c>
      <c r="AE105" s="76">
        <f t="shared" si="92"/>
        <v>23.804260380088131</v>
      </c>
      <c r="AF105" s="76">
        <f t="shared" si="93"/>
        <v>22.783269485614571</v>
      </c>
      <c r="AG105" s="76">
        <f t="shared" si="106"/>
        <v>212.79436609978725</v>
      </c>
      <c r="AH105" s="76">
        <f t="shared" si="94"/>
        <v>95.665735488183174</v>
      </c>
      <c r="AI105" s="76">
        <f t="shared" si="95"/>
        <v>77.276371906301492</v>
      </c>
      <c r="AJ105" s="76">
        <f t="shared" si="96"/>
        <v>66.556374641306704</v>
      </c>
      <c r="AK105" s="76">
        <f t="shared" si="108"/>
        <v>102.61029957109807</v>
      </c>
      <c r="AL105" s="76">
        <f t="shared" si="97"/>
        <v>53.197451164250609</v>
      </c>
      <c r="AM105" s="76"/>
      <c r="AN105" s="76"/>
      <c r="AO105" s="76">
        <f t="shared" si="98"/>
        <v>4.8085707167178804E-2</v>
      </c>
      <c r="AP105" s="76">
        <f t="shared" si="99"/>
        <v>1.0755821654701035E-2</v>
      </c>
      <c r="AQ105" s="76">
        <f t="shared" si="107"/>
        <v>0.39445098092866721</v>
      </c>
      <c r="AR105" s="76">
        <f t="shared" si="100"/>
        <v>4.9312470365101946E-2</v>
      </c>
      <c r="AS105" s="76">
        <f t="shared" si="101"/>
        <v>1.9795767489141485</v>
      </c>
      <c r="AT105" s="76">
        <f t="shared" si="102"/>
        <v>6.3771908680830547E-2</v>
      </c>
      <c r="AU105" s="76">
        <f t="shared" si="109"/>
        <v>3.0325875486381323E-2</v>
      </c>
      <c r="AV105" s="76">
        <f t="shared" si="103"/>
        <v>4.0459026040900396E-2</v>
      </c>
      <c r="AW105" s="76"/>
      <c r="AY105" s="97">
        <v>1158</v>
      </c>
      <c r="AZ105" s="97">
        <v>406</v>
      </c>
      <c r="BA105" s="97">
        <v>14416</v>
      </c>
      <c r="BB105" s="97">
        <v>1040</v>
      </c>
      <c r="BC105" s="97">
        <v>21421</v>
      </c>
      <c r="BD105" s="97">
        <v>1852</v>
      </c>
      <c r="BE105" s="97">
        <v>1247</v>
      </c>
      <c r="BF105" s="97">
        <v>825</v>
      </c>
      <c r="BG105" s="97"/>
      <c r="BI105" s="99">
        <v>24082</v>
      </c>
      <c r="BJ105" s="99">
        <v>37747</v>
      </c>
      <c r="BK105" s="99">
        <v>36547</v>
      </c>
      <c r="BL105" s="99">
        <v>21090</v>
      </c>
      <c r="BM105" s="99">
        <v>10821</v>
      </c>
      <c r="BN105" s="99">
        <v>29041</v>
      </c>
      <c r="BO105" s="99">
        <v>41120</v>
      </c>
      <c r="BP105" s="99">
        <v>20391</v>
      </c>
      <c r="BQ105" s="101"/>
    </row>
    <row r="106" spans="1:69">
      <c r="A106" s="4">
        <v>1906</v>
      </c>
      <c r="B106" s="95">
        <f t="shared" si="110"/>
        <v>72.810758004804185</v>
      </c>
      <c r="N106" s="51">
        <f t="shared" si="105"/>
        <v>85.806897932223563</v>
      </c>
      <c r="O106" s="51">
        <f t="shared" si="111"/>
        <v>92.667239159421513</v>
      </c>
      <c r="P106" s="51"/>
      <c r="R106" s="51"/>
      <c r="S106" s="51"/>
      <c r="U106" s="76">
        <f t="shared" si="83"/>
        <v>3.2756098525283675E-2</v>
      </c>
      <c r="V106" s="76">
        <f t="shared" si="84"/>
        <v>1.197959909856482E-2</v>
      </c>
      <c r="W106" s="76">
        <f t="shared" si="85"/>
        <v>0.27786344047760247</v>
      </c>
      <c r="X106" s="76">
        <f t="shared" si="86"/>
        <v>2.739888506701459E-2</v>
      </c>
      <c r="Y106" s="76">
        <f t="shared" si="87"/>
        <v>0.54592179654449846</v>
      </c>
      <c r="Z106" s="76">
        <f t="shared" si="88"/>
        <v>4.8946348792155932E-2</v>
      </c>
      <c r="AA106" s="76">
        <f t="shared" si="89"/>
        <v>3.6709761594116951E-2</v>
      </c>
      <c r="AB106" s="76">
        <f t="shared" si="90"/>
        <v>1.8424069900763056E-2</v>
      </c>
      <c r="AC106" s="76">
        <f t="shared" si="91"/>
        <v>0</v>
      </c>
      <c r="AE106" s="76">
        <f t="shared" si="92"/>
        <v>25.902432874662413</v>
      </c>
      <c r="AF106" s="76">
        <f t="shared" si="93"/>
        <v>15.110955285184518</v>
      </c>
      <c r="AG106" s="76">
        <f t="shared" si="106"/>
        <v>179.32144429117551</v>
      </c>
      <c r="AH106" s="76">
        <f t="shared" si="94"/>
        <v>106.97541892870252</v>
      </c>
      <c r="AI106" s="76">
        <f t="shared" si="95"/>
        <v>77.190368834324161</v>
      </c>
      <c r="AJ106" s="76">
        <f t="shared" si="96"/>
        <v>73.720061636878199</v>
      </c>
      <c r="AK106" s="76">
        <f t="shared" si="108"/>
        <v>108.71556553502808</v>
      </c>
      <c r="AL106" s="76">
        <f t="shared" si="97"/>
        <v>51.859412368729949</v>
      </c>
      <c r="AM106" s="76"/>
      <c r="AN106" s="76"/>
      <c r="AO106" s="76">
        <f t="shared" si="98"/>
        <v>5.2324112668940256E-2</v>
      </c>
      <c r="AP106" s="76">
        <f t="shared" si="99"/>
        <v>7.1337759570560813E-3</v>
      </c>
      <c r="AQ106" s="76">
        <f t="shared" si="107"/>
        <v>0.33240315943811188</v>
      </c>
      <c r="AR106" s="76">
        <f t="shared" si="100"/>
        <v>5.5142231947483591E-2</v>
      </c>
      <c r="AS106" s="76">
        <f t="shared" si="101"/>
        <v>1.9773736216525848</v>
      </c>
      <c r="AT106" s="76">
        <f t="shared" si="102"/>
        <v>7.0635894217328049E-2</v>
      </c>
      <c r="AU106" s="76">
        <f t="shared" si="109"/>
        <v>3.2130251228458716E-2</v>
      </c>
      <c r="AV106" s="76">
        <f t="shared" si="103"/>
        <v>3.9441388066017775E-2</v>
      </c>
      <c r="AW106" s="76"/>
      <c r="AY106" s="97">
        <v>1657</v>
      </c>
      <c r="AZ106" s="97">
        <v>606</v>
      </c>
      <c r="BA106" s="97">
        <v>14056</v>
      </c>
      <c r="BB106" s="97">
        <v>1386</v>
      </c>
      <c r="BC106" s="97">
        <v>27616</v>
      </c>
      <c r="BD106" s="97">
        <v>2476</v>
      </c>
      <c r="BE106" s="97">
        <v>1857</v>
      </c>
      <c r="BF106" s="97">
        <v>932</v>
      </c>
      <c r="BG106" s="97"/>
      <c r="BI106" s="99">
        <v>31668</v>
      </c>
      <c r="BJ106" s="99">
        <v>84948</v>
      </c>
      <c r="BK106" s="99">
        <v>42286</v>
      </c>
      <c r="BL106" s="99">
        <v>25135</v>
      </c>
      <c r="BM106" s="99">
        <v>13966</v>
      </c>
      <c r="BN106" s="99">
        <v>35053</v>
      </c>
      <c r="BO106" s="99">
        <v>57796</v>
      </c>
      <c r="BP106" s="99">
        <v>23630</v>
      </c>
      <c r="BQ106" s="101"/>
    </row>
    <row r="107" spans="1:69">
      <c r="A107" s="4">
        <v>1907</v>
      </c>
      <c r="B107" s="95">
        <f t="shared" si="110"/>
        <v>72.796957574273208</v>
      </c>
      <c r="N107" s="51">
        <f t="shared" si="105"/>
        <v>86.371450463503365</v>
      </c>
      <c r="O107" s="51">
        <f t="shared" si="111"/>
        <v>92.02664018428942</v>
      </c>
      <c r="P107" s="51"/>
      <c r="R107" s="51"/>
      <c r="S107" s="51"/>
      <c r="U107" s="76">
        <f t="shared" si="83"/>
        <v>3.3750924016651751E-2</v>
      </c>
      <c r="V107" s="76">
        <f t="shared" si="84"/>
        <v>2.6456055713340856E-3</v>
      </c>
      <c r="W107" s="76">
        <f t="shared" si="85"/>
        <v>0.26631132552620318</v>
      </c>
      <c r="X107" s="76">
        <f t="shared" si="86"/>
        <v>3.9158853052172898E-2</v>
      </c>
      <c r="Y107" s="76">
        <f t="shared" si="87"/>
        <v>0.55555771699801582</v>
      </c>
      <c r="Z107" s="76">
        <f t="shared" si="88"/>
        <v>4.6278644516204337E-2</v>
      </c>
      <c r="AA107" s="76">
        <f t="shared" si="89"/>
        <v>3.1319301248881451E-2</v>
      </c>
      <c r="AB107" s="76">
        <f t="shared" si="90"/>
        <v>2.4977629070536512E-2</v>
      </c>
      <c r="AC107" s="76">
        <f t="shared" si="91"/>
        <v>0</v>
      </c>
      <c r="AE107" s="76">
        <f t="shared" si="92"/>
        <v>30.635298237053998</v>
      </c>
      <c r="AF107" s="76">
        <f t="shared" si="93"/>
        <v>22.404638534671459</v>
      </c>
      <c r="AG107" s="76">
        <f t="shared" si="106"/>
        <v>203.83475023004988</v>
      </c>
      <c r="AH107" s="76">
        <f t="shared" si="94"/>
        <v>160.06891600757825</v>
      </c>
      <c r="AI107" s="76">
        <f t="shared" si="95"/>
        <v>71.100281120010635</v>
      </c>
      <c r="AJ107" s="76">
        <f t="shared" si="96"/>
        <v>72.166081093877139</v>
      </c>
      <c r="AK107" s="76">
        <f t="shared" si="108"/>
        <v>104.65445479910539</v>
      </c>
      <c r="AL107" s="76">
        <f t="shared" si="97"/>
        <v>56.859229792343235</v>
      </c>
      <c r="AM107" s="76"/>
      <c r="AN107" s="76"/>
      <c r="AO107" s="76">
        <f t="shared" si="98"/>
        <v>6.1884719646169213E-2</v>
      </c>
      <c r="AP107" s="76">
        <f t="shared" si="99"/>
        <v>1.0577072639601804E-2</v>
      </c>
      <c r="AQ107" s="76">
        <f t="shared" si="107"/>
        <v>0.3778427909030691</v>
      </c>
      <c r="AR107" s="76">
        <f t="shared" si="100"/>
        <v>8.2510144689920892E-2</v>
      </c>
      <c r="AS107" s="76">
        <f t="shared" si="101"/>
        <v>1.8213647959183674</v>
      </c>
      <c r="AT107" s="76">
        <f t="shared" si="102"/>
        <v>6.9146926318849E-2</v>
      </c>
      <c r="AU107" s="76">
        <f t="shared" si="109"/>
        <v>3.0930013639943903E-2</v>
      </c>
      <c r="AV107" s="76">
        <f t="shared" si="103"/>
        <v>4.3243971440118552E-2</v>
      </c>
      <c r="AW107" s="76"/>
      <c r="AY107" s="97">
        <v>1735</v>
      </c>
      <c r="AZ107" s="97">
        <v>136</v>
      </c>
      <c r="BA107" s="97">
        <v>13690</v>
      </c>
      <c r="BB107" s="97">
        <v>2013</v>
      </c>
      <c r="BC107" s="97">
        <v>28559</v>
      </c>
      <c r="BD107" s="97">
        <v>2379</v>
      </c>
      <c r="BE107" s="97">
        <v>1610</v>
      </c>
      <c r="BF107" s="97">
        <v>1284</v>
      </c>
      <c r="BG107" s="97"/>
      <c r="BI107" s="99">
        <v>28036</v>
      </c>
      <c r="BJ107" s="99">
        <v>12858</v>
      </c>
      <c r="BK107" s="99">
        <v>36232</v>
      </c>
      <c r="BL107" s="99">
        <v>24397</v>
      </c>
      <c r="BM107" s="99">
        <v>15680</v>
      </c>
      <c r="BN107" s="99">
        <v>34405</v>
      </c>
      <c r="BO107" s="99">
        <v>52053</v>
      </c>
      <c r="BP107" s="99">
        <v>29692</v>
      </c>
      <c r="BQ107" s="101"/>
    </row>
    <row r="108" spans="1:69">
      <c r="A108" s="4">
        <v>1908</v>
      </c>
      <c r="B108" s="95">
        <f t="shared" si="110"/>
        <v>70.900313503015923</v>
      </c>
      <c r="N108" s="51">
        <f t="shared" si="105"/>
        <v>84.468628845318207</v>
      </c>
      <c r="O108" s="51">
        <f t="shared" si="111"/>
        <v>89.260268297492289</v>
      </c>
      <c r="P108" s="51"/>
      <c r="R108" s="51"/>
      <c r="S108" s="51"/>
      <c r="U108" s="76">
        <f t="shared" si="83"/>
        <v>4.9252839210998205E-3</v>
      </c>
      <c r="V108" s="76">
        <f t="shared" si="84"/>
        <v>7.3161984459055585E-3</v>
      </c>
      <c r="W108" s="76">
        <f t="shared" si="85"/>
        <v>0.28176927674835622</v>
      </c>
      <c r="X108" s="76">
        <f t="shared" si="86"/>
        <v>4.7268380155409441E-2</v>
      </c>
      <c r="Y108" s="76">
        <f t="shared" si="87"/>
        <v>0.55084279736999398</v>
      </c>
      <c r="Z108" s="76">
        <f t="shared" si="88"/>
        <v>4.8320382546323967E-2</v>
      </c>
      <c r="AA108" s="76">
        <f t="shared" si="89"/>
        <v>3.9450089659294682E-2</v>
      </c>
      <c r="AB108" s="76">
        <f t="shared" si="90"/>
        <v>2.010759115361626E-2</v>
      </c>
      <c r="AC108" s="76">
        <f t="shared" si="91"/>
        <v>0</v>
      </c>
      <c r="AE108" s="76">
        <f t="shared" si="92"/>
        <v>28.605291050608649</v>
      </c>
      <c r="AF108" s="76">
        <f t="shared" si="93"/>
        <v>20.52688333683734</v>
      </c>
      <c r="AG108" s="76">
        <f t="shared" si="106"/>
        <v>189.6051661272466</v>
      </c>
      <c r="AH108" s="76">
        <f t="shared" si="94"/>
        <v>116.37825213858319</v>
      </c>
      <c r="AI108" s="76">
        <f t="shared" si="95"/>
        <v>71.051444741876367</v>
      </c>
      <c r="AJ108" s="76">
        <f t="shared" si="96"/>
        <v>62.082198813946519</v>
      </c>
      <c r="AK108" s="76">
        <f t="shared" si="108"/>
        <v>100.92961939423645</v>
      </c>
      <c r="AL108" s="76">
        <f t="shared" si="97"/>
        <v>72.4441029514077</v>
      </c>
      <c r="AM108" s="76"/>
      <c r="AN108" s="76"/>
      <c r="AO108" s="76">
        <f t="shared" si="98"/>
        <v>5.778401122019635E-2</v>
      </c>
      <c r="AP108" s="76">
        <f t="shared" si="99"/>
        <v>9.6905975868511896E-3</v>
      </c>
      <c r="AQ108" s="76">
        <f t="shared" si="107"/>
        <v>0.35146580775998332</v>
      </c>
      <c r="AR108" s="76">
        <f t="shared" si="100"/>
        <v>5.9989076344216533E-2</v>
      </c>
      <c r="AS108" s="76">
        <f t="shared" si="101"/>
        <v>1.8201137620477168</v>
      </c>
      <c r="AT108" s="76">
        <f t="shared" si="102"/>
        <v>5.9484915378955117E-2</v>
      </c>
      <c r="AU108" s="76">
        <f t="shared" si="109"/>
        <v>2.9829160263942871E-2</v>
      </c>
      <c r="AV108" s="76">
        <f t="shared" si="103"/>
        <v>5.5096960167714884E-2</v>
      </c>
      <c r="AW108" s="76"/>
      <c r="AY108" s="97">
        <v>206</v>
      </c>
      <c r="AZ108" s="97">
        <v>306</v>
      </c>
      <c r="BA108" s="97">
        <v>11785</v>
      </c>
      <c r="BB108" s="97">
        <v>1977</v>
      </c>
      <c r="BC108" s="97">
        <v>23039</v>
      </c>
      <c r="BD108" s="97">
        <v>2021</v>
      </c>
      <c r="BE108" s="97">
        <v>1650</v>
      </c>
      <c r="BF108" s="97">
        <v>841</v>
      </c>
      <c r="BG108" s="97"/>
      <c r="BI108" s="99">
        <v>3565</v>
      </c>
      <c r="BJ108" s="99">
        <v>31577</v>
      </c>
      <c r="BK108" s="99">
        <v>33531</v>
      </c>
      <c r="BL108" s="99">
        <v>32956</v>
      </c>
      <c r="BM108" s="99">
        <v>12658</v>
      </c>
      <c r="BN108" s="99">
        <v>33975</v>
      </c>
      <c r="BO108" s="99">
        <v>55315</v>
      </c>
      <c r="BP108" s="99">
        <v>15264</v>
      </c>
      <c r="BQ108" s="101"/>
    </row>
    <row r="109" spans="1:69">
      <c r="A109" s="4">
        <v>1909</v>
      </c>
      <c r="B109" s="95">
        <f t="shared" si="110"/>
        <v>81.869819465755597</v>
      </c>
      <c r="N109" s="51">
        <f t="shared" si="105"/>
        <v>96.848925873841438</v>
      </c>
      <c r="O109" s="51">
        <f t="shared" si="111"/>
        <v>103.80306527705839</v>
      </c>
      <c r="P109" s="51"/>
      <c r="R109" s="51"/>
      <c r="S109" s="51"/>
      <c r="U109" s="76">
        <f t="shared" si="83"/>
        <v>9.6982405556829722E-3</v>
      </c>
      <c r="V109" s="76">
        <f t="shared" si="84"/>
        <v>1.0992431440647423E-2</v>
      </c>
      <c r="W109" s="76">
        <f t="shared" si="85"/>
        <v>0.31004881884604041</v>
      </c>
      <c r="X109" s="76">
        <f t="shared" si="86"/>
        <v>2.6195078798204516E-2</v>
      </c>
      <c r="Y109" s="76">
        <f t="shared" si="87"/>
        <v>0.54839290979980992</v>
      </c>
      <c r="Z109" s="76">
        <f t="shared" si="88"/>
        <v>4.5738999377477801E-2</v>
      </c>
      <c r="AA109" s="76">
        <f t="shared" si="89"/>
        <v>2.7161626421152649E-2</v>
      </c>
      <c r="AB109" s="76">
        <f t="shared" si="90"/>
        <v>2.1771894760984241E-2</v>
      </c>
      <c r="AC109" s="76">
        <f t="shared" si="91"/>
        <v>0</v>
      </c>
      <c r="AE109" s="76">
        <f t="shared" si="92"/>
        <v>29.400340632007161</v>
      </c>
      <c r="AF109" s="76">
        <f t="shared" si="93"/>
        <v>20.754496303620929</v>
      </c>
      <c r="AG109" s="76">
        <f t="shared" si="106"/>
        <v>290.34563350209157</v>
      </c>
      <c r="AH109" s="76">
        <f t="shared" si="94"/>
        <v>91.727635600061859</v>
      </c>
      <c r="AI109" s="76">
        <f t="shared" si="95"/>
        <v>77.409951539819943</v>
      </c>
      <c r="AJ109" s="76">
        <f t="shared" si="96"/>
        <v>73.43515106918062</v>
      </c>
      <c r="AK109" s="76">
        <f t="shared" si="108"/>
        <v>96.693967544883677</v>
      </c>
      <c r="AL109" s="76">
        <f t="shared" si="97"/>
        <v>58.674111565103225</v>
      </c>
      <c r="AM109" s="76"/>
      <c r="AN109" s="76"/>
      <c r="AO109" s="76">
        <f t="shared" si="98"/>
        <v>5.93900481540931E-2</v>
      </c>
      <c r="AP109" s="76">
        <f t="shared" si="99"/>
        <v>9.7980520713169695E-3</v>
      </c>
      <c r="AQ109" s="76">
        <f t="shared" si="107"/>
        <v>0.53820560216123992</v>
      </c>
      <c r="AR109" s="76">
        <f t="shared" si="100"/>
        <v>4.7282512271571354E-2</v>
      </c>
      <c r="AS109" s="76">
        <f t="shared" si="101"/>
        <v>1.9829986375214739</v>
      </c>
      <c r="AT109" s="76">
        <f t="shared" si="102"/>
        <v>7.0362903225806447E-2</v>
      </c>
      <c r="AU109" s="76">
        <f t="shared" si="109"/>
        <v>2.8577338067496294E-2</v>
      </c>
      <c r="AV109" s="76">
        <f t="shared" si="103"/>
        <v>4.4624269693103215E-2</v>
      </c>
      <c r="AW109" s="76"/>
      <c r="AY109" s="97">
        <v>592</v>
      </c>
      <c r="AZ109" s="97">
        <v>671</v>
      </c>
      <c r="BA109" s="97">
        <v>18926</v>
      </c>
      <c r="BB109" s="97">
        <v>1599</v>
      </c>
      <c r="BC109" s="97">
        <v>33475</v>
      </c>
      <c r="BD109" s="97">
        <v>2792</v>
      </c>
      <c r="BE109" s="97">
        <v>1658</v>
      </c>
      <c r="BF109" s="97">
        <v>1329</v>
      </c>
      <c r="BG109" s="97"/>
      <c r="BI109" s="99">
        <v>9968</v>
      </c>
      <c r="BJ109" s="99">
        <v>68483</v>
      </c>
      <c r="BK109" s="99">
        <v>35165</v>
      </c>
      <c r="BL109" s="99">
        <v>33818</v>
      </c>
      <c r="BM109" s="99">
        <v>16881</v>
      </c>
      <c r="BN109" s="99">
        <v>39680</v>
      </c>
      <c r="BO109" s="99">
        <v>58018</v>
      </c>
      <c r="BP109" s="99">
        <v>29782</v>
      </c>
      <c r="BQ109" s="101"/>
    </row>
    <row r="110" spans="1:69">
      <c r="A110" s="4">
        <v>1910</v>
      </c>
      <c r="B110" s="95">
        <f t="shared" si="110"/>
        <v>110.42757610689128</v>
      </c>
      <c r="N110" s="51">
        <f t="shared" si="105"/>
        <v>130.20400007780799</v>
      </c>
      <c r="O110" s="51">
        <f t="shared" si="111"/>
        <v>140.47145265305068</v>
      </c>
      <c r="P110" s="51"/>
      <c r="R110" s="51"/>
      <c r="S110" s="51"/>
      <c r="U110" s="76">
        <f t="shared" si="83"/>
        <v>1.481149757011826E-2</v>
      </c>
      <c r="V110" s="76">
        <f t="shared" si="84"/>
        <v>1.1262045744804366E-2</v>
      </c>
      <c r="W110" s="76">
        <f t="shared" si="85"/>
        <v>0.40878406395647776</v>
      </c>
      <c r="X110" s="76">
        <f t="shared" si="86"/>
        <v>2.2938747076678111E-2</v>
      </c>
      <c r="Y110" s="76">
        <f t="shared" si="87"/>
        <v>0.4427858220961669</v>
      </c>
      <c r="Z110" s="76">
        <f t="shared" si="88"/>
        <v>4.0271350616178203E-2</v>
      </c>
      <c r="AA110" s="76">
        <f t="shared" si="89"/>
        <v>3.2492411802756631E-2</v>
      </c>
      <c r="AB110" s="76">
        <f t="shared" si="90"/>
        <v>2.6654061136819757E-2</v>
      </c>
      <c r="AC110" s="76">
        <f t="shared" si="91"/>
        <v>0</v>
      </c>
      <c r="AE110" s="76">
        <f t="shared" si="92"/>
        <v>39.611925086869682</v>
      </c>
      <c r="AF110" s="76">
        <f t="shared" si="93"/>
        <v>24.450496134444556</v>
      </c>
      <c r="AG110" s="76">
        <f t="shared" si="106"/>
        <v>422.15497969654774</v>
      </c>
      <c r="AH110" s="76">
        <f t="shared" si="94"/>
        <v>92.016159632912391</v>
      </c>
      <c r="AI110" s="76">
        <f t="shared" si="95"/>
        <v>107.17059040213101</v>
      </c>
      <c r="AJ110" s="76">
        <f t="shared" si="96"/>
        <v>68.943368296617052</v>
      </c>
      <c r="AK110" s="76">
        <f t="shared" si="108"/>
        <v>111.665278075389</v>
      </c>
      <c r="AL110" s="76">
        <f t="shared" si="97"/>
        <v>61.874725726604751</v>
      </c>
      <c r="AM110" s="76"/>
      <c r="AN110" s="76"/>
      <c r="AO110" s="76">
        <f t="shared" si="98"/>
        <v>8.00179211469534E-2</v>
      </c>
      <c r="AP110" s="76">
        <f t="shared" si="99"/>
        <v>1.1542907656738747E-2</v>
      </c>
      <c r="AQ110" s="76">
        <f t="shared" si="107"/>
        <v>0.78253691062073349</v>
      </c>
      <c r="AR110" s="76">
        <f t="shared" si="100"/>
        <v>4.7431236710336784E-2</v>
      </c>
      <c r="AS110" s="76">
        <f t="shared" si="101"/>
        <v>2.7453722747840397</v>
      </c>
      <c r="AT110" s="76">
        <f t="shared" si="102"/>
        <v>6.6059039586450818E-2</v>
      </c>
      <c r="AU110" s="76">
        <f t="shared" si="109"/>
        <v>3.3002021563342317E-2</v>
      </c>
      <c r="AV110" s="76">
        <f t="shared" si="103"/>
        <v>4.705847901841928E-2</v>
      </c>
      <c r="AW110" s="76"/>
      <c r="AY110" s="97">
        <v>893</v>
      </c>
      <c r="AZ110" s="97">
        <v>679</v>
      </c>
      <c r="BA110" s="97">
        <v>24646</v>
      </c>
      <c r="BB110" s="97">
        <v>1383</v>
      </c>
      <c r="BC110" s="97">
        <v>26696</v>
      </c>
      <c r="BD110" s="97">
        <v>2428</v>
      </c>
      <c r="BE110" s="97">
        <v>1959</v>
      </c>
      <c r="BF110" s="97">
        <v>1607</v>
      </c>
      <c r="BG110" s="97"/>
      <c r="BI110" s="99">
        <v>11160</v>
      </c>
      <c r="BJ110" s="99">
        <v>58824</v>
      </c>
      <c r="BK110" s="99">
        <v>31495</v>
      </c>
      <c r="BL110" s="99">
        <v>29158</v>
      </c>
      <c r="BM110" s="99">
        <v>9724</v>
      </c>
      <c r="BN110" s="99">
        <v>36755</v>
      </c>
      <c r="BO110" s="99">
        <v>59360</v>
      </c>
      <c r="BP110" s="99">
        <v>34149</v>
      </c>
      <c r="BQ110" s="101"/>
    </row>
    <row r="111" spans="1:69">
      <c r="A111" s="4">
        <v>1911</v>
      </c>
      <c r="B111" s="51">
        <f>GEOMEAN(O111:P111)/GEOMEAN(O$113:P$113)*100</f>
        <v>114.72248020916172</v>
      </c>
      <c r="N111" s="51">
        <f t="shared" si="105"/>
        <v>135.65538460585796</v>
      </c>
      <c r="O111" s="51">
        <f t="shared" si="111"/>
        <v>145.51820848318269</v>
      </c>
      <c r="P111" s="51">
        <f t="shared" ref="P111:P117" si="112">(AF111^V$15)*(AH111^X$15)*(AI111^Y$15)*(AJ111^Z$15)*(AL111^AB$15)*(AG111^W$15)*(AK111^AA$15)*(AE111^U$15)</f>
        <v>110.7562182427033</v>
      </c>
      <c r="R111" s="51"/>
      <c r="S111" s="51"/>
      <c r="U111" s="76">
        <f t="shared" si="83"/>
        <v>1.5325130709746095E-2</v>
      </c>
      <c r="V111" s="76">
        <f t="shared" si="84"/>
        <v>6.4024294793525562E-3</v>
      </c>
      <c r="W111" s="76">
        <f t="shared" si="85"/>
        <v>0.23570019723865879</v>
      </c>
      <c r="X111" s="76">
        <f t="shared" si="86"/>
        <v>2.5687987226448765E-2</v>
      </c>
      <c r="Y111" s="76">
        <f t="shared" si="87"/>
        <v>0.6324316708932094</v>
      </c>
      <c r="Z111" s="76">
        <f t="shared" si="88"/>
        <v>3.8304999843461383E-2</v>
      </c>
      <c r="AA111" s="76">
        <f t="shared" si="89"/>
        <v>3.1041607964684886E-2</v>
      </c>
      <c r="AB111" s="76">
        <f t="shared" si="90"/>
        <v>1.5105976644438183E-2</v>
      </c>
      <c r="AC111" s="76">
        <f t="shared" si="91"/>
        <v>0</v>
      </c>
      <c r="AE111" s="76">
        <f t="shared" si="92"/>
        <v>33.088165932423955</v>
      </c>
      <c r="AF111" s="76">
        <f t="shared" si="93"/>
        <v>23.927163986353257</v>
      </c>
      <c r="AG111" s="76">
        <f t="shared" si="106"/>
        <v>238.91981286837313</v>
      </c>
      <c r="AH111" s="76">
        <f t="shared" si="94"/>
        <v>90.973446632953852</v>
      </c>
      <c r="AI111" s="76">
        <f t="shared" si="95"/>
        <v>140.0893919581805</v>
      </c>
      <c r="AJ111" s="76">
        <f t="shared" si="96"/>
        <v>73.746552026852314</v>
      </c>
      <c r="AK111" s="76">
        <f t="shared" si="108"/>
        <v>108.51080381724788</v>
      </c>
      <c r="AL111" s="76">
        <f t="shared" si="97"/>
        <v>68.62609569693862</v>
      </c>
      <c r="AM111" s="76"/>
      <c r="AN111" s="76"/>
      <c r="AO111" s="76">
        <f t="shared" si="98"/>
        <v>6.6839625861951246E-2</v>
      </c>
      <c r="AP111" s="76">
        <f t="shared" si="99"/>
        <v>1.129584622182943E-2</v>
      </c>
      <c r="AQ111" s="76">
        <f t="shared" si="107"/>
        <v>0.44287899288193422</v>
      </c>
      <c r="AR111" s="76">
        <f t="shared" si="100"/>
        <v>4.6893753214836832E-2</v>
      </c>
      <c r="AS111" s="76">
        <f t="shared" si="101"/>
        <v>3.5886480724817909</v>
      </c>
      <c r="AT111" s="76">
        <f t="shared" si="102"/>
        <v>7.0661276349985563E-2</v>
      </c>
      <c r="AU111" s="76">
        <f t="shared" si="109"/>
        <v>3.2069735097195719E-2</v>
      </c>
      <c r="AV111" s="76">
        <f t="shared" si="103"/>
        <v>5.2193195954351235E-2</v>
      </c>
      <c r="AW111" s="76"/>
      <c r="AY111" s="97">
        <v>979</v>
      </c>
      <c r="AZ111" s="97">
        <v>409</v>
      </c>
      <c r="BA111" s="97">
        <v>15057</v>
      </c>
      <c r="BB111" s="97">
        <v>1641</v>
      </c>
      <c r="BC111" s="97">
        <v>40401</v>
      </c>
      <c r="BD111" s="97">
        <v>2447</v>
      </c>
      <c r="BE111" s="97">
        <v>1983</v>
      </c>
      <c r="BF111" s="97">
        <v>965</v>
      </c>
      <c r="BG111" s="97"/>
      <c r="BI111" s="99">
        <v>14647</v>
      </c>
      <c r="BJ111" s="99">
        <v>36208</v>
      </c>
      <c r="BK111" s="99">
        <v>33998</v>
      </c>
      <c r="BL111" s="99">
        <v>34994</v>
      </c>
      <c r="BM111" s="99">
        <v>11258</v>
      </c>
      <c r="BN111" s="99">
        <v>34630</v>
      </c>
      <c r="BO111" s="99">
        <v>61834</v>
      </c>
      <c r="BP111" s="99">
        <v>18489</v>
      </c>
      <c r="BQ111" s="101"/>
    </row>
    <row r="112" spans="1:69">
      <c r="A112" s="4">
        <v>1912</v>
      </c>
      <c r="B112" s="51">
        <f t="shared" ref="B112:B121" si="113">GEOMEAN(O112:P112)/GEOMEAN(O$113:P$113)*100</f>
        <v>128.74810290679454</v>
      </c>
      <c r="O112" s="51">
        <f t="shared" si="111"/>
        <v>170.75500437801674</v>
      </c>
      <c r="P112" s="51">
        <f t="shared" si="112"/>
        <v>118.87667219997408</v>
      </c>
      <c r="R112" s="51"/>
      <c r="S112" s="51"/>
      <c r="U112" s="76">
        <f t="shared" si="83"/>
        <v>1.4486477425122933E-2</v>
      </c>
      <c r="V112" s="76">
        <f t="shared" si="84"/>
        <v>7.8229772016092985E-4</v>
      </c>
      <c r="W112" s="76">
        <f t="shared" si="85"/>
        <v>0.22484074653553868</v>
      </c>
      <c r="X112" s="76">
        <f t="shared" si="86"/>
        <v>2.1387460885113993E-2</v>
      </c>
      <c r="Y112" s="76">
        <f t="shared" si="87"/>
        <v>0.65039673670093878</v>
      </c>
      <c r="Z112" s="76">
        <f t="shared" si="88"/>
        <v>3.8695797943674566E-2</v>
      </c>
      <c r="AA112" s="76">
        <f t="shared" si="89"/>
        <v>2.937807331247206E-2</v>
      </c>
      <c r="AB112" s="76">
        <f t="shared" si="90"/>
        <v>2.0032409476978097E-2</v>
      </c>
      <c r="AC112" s="76">
        <f t="shared" si="91"/>
        <v>0</v>
      </c>
      <c r="AE112" s="76">
        <f t="shared" si="92"/>
        <v>30.604183865069256</v>
      </c>
      <c r="AF112" s="76">
        <f t="shared" si="93"/>
        <v>24.857648734673333</v>
      </c>
      <c r="AG112" s="76">
        <f t="shared" si="106"/>
        <v>383.14206083714339</v>
      </c>
      <c r="AH112" s="76">
        <f t="shared" si="94"/>
        <v>97.406723433558042</v>
      </c>
      <c r="AI112" s="76">
        <f t="shared" si="95"/>
        <v>150.45331510150109</v>
      </c>
      <c r="AJ112" s="76">
        <f t="shared" si="96"/>
        <v>73.292419906738502</v>
      </c>
      <c r="AK112" s="76">
        <f t="shared" si="108"/>
        <v>113.16297275188889</v>
      </c>
      <c r="AL112" s="76">
        <f t="shared" si="97"/>
        <v>76.317144949394972</v>
      </c>
      <c r="AM112" s="76"/>
      <c r="AN112" s="76"/>
      <c r="AO112" s="76">
        <f t="shared" si="98"/>
        <v>6.1821867175390482E-2</v>
      </c>
      <c r="AP112" s="76">
        <f t="shared" si="99"/>
        <v>1.173512154233026E-2</v>
      </c>
      <c r="AQ112" s="76">
        <f t="shared" si="107"/>
        <v>0.71021975112523161</v>
      </c>
      <c r="AR112" s="76">
        <f t="shared" si="100"/>
        <v>5.0209891118982025E-2</v>
      </c>
      <c r="AS112" s="76">
        <f t="shared" si="101"/>
        <v>3.8541390728476821</v>
      </c>
      <c r="AT112" s="76">
        <f t="shared" si="102"/>
        <v>7.0226143393164991E-2</v>
      </c>
      <c r="AU112" s="76">
        <f t="shared" si="109"/>
        <v>3.3444656488549621E-2</v>
      </c>
      <c r="AV112" s="76">
        <f t="shared" si="103"/>
        <v>5.8042580749615477E-2</v>
      </c>
      <c r="AW112" s="76"/>
      <c r="AY112" s="97">
        <v>1037</v>
      </c>
      <c r="AZ112" s="97">
        <v>56</v>
      </c>
      <c r="BA112" s="97">
        <v>16095</v>
      </c>
      <c r="BB112" s="97">
        <v>1531</v>
      </c>
      <c r="BC112" s="97">
        <v>46558</v>
      </c>
      <c r="BD112" s="97">
        <v>2770</v>
      </c>
      <c r="BE112" s="97">
        <v>2103</v>
      </c>
      <c r="BF112" s="97">
        <v>1434</v>
      </c>
      <c r="BG112" s="97"/>
      <c r="BI112" s="99">
        <v>16774</v>
      </c>
      <c r="BJ112" s="99">
        <v>4772</v>
      </c>
      <c r="BK112" s="99">
        <v>22662</v>
      </c>
      <c r="BL112" s="99">
        <v>30492</v>
      </c>
      <c r="BM112" s="99">
        <v>12080</v>
      </c>
      <c r="BN112" s="99">
        <v>39444</v>
      </c>
      <c r="BO112" s="99">
        <v>62880</v>
      </c>
      <c r="BP112" s="99">
        <v>24706</v>
      </c>
      <c r="BQ112" s="101"/>
    </row>
    <row r="113" spans="1:69">
      <c r="A113" s="4">
        <v>1913</v>
      </c>
      <c r="B113" s="51">
        <f t="shared" si="113"/>
        <v>100</v>
      </c>
      <c r="O113" s="51">
        <f t="shared" si="111"/>
        <v>122.6526753460153</v>
      </c>
      <c r="P113" s="51">
        <f t="shared" si="112"/>
        <v>99.841564351180878</v>
      </c>
      <c r="R113" s="51"/>
      <c r="S113" s="51"/>
      <c r="U113" s="76">
        <f t="shared" si="83"/>
        <v>3.691382509116499E-2</v>
      </c>
      <c r="V113" s="76">
        <f t="shared" si="84"/>
        <v>1.055594651653765E-3</v>
      </c>
      <c r="W113" s="76">
        <f t="shared" si="85"/>
        <v>0.16593628046830017</v>
      </c>
      <c r="X113" s="76">
        <f t="shared" si="86"/>
        <v>2.5494210223274263E-2</v>
      </c>
      <c r="Y113" s="76">
        <f t="shared" si="87"/>
        <v>0.65221354999680126</v>
      </c>
      <c r="Z113" s="76">
        <f t="shared" si="88"/>
        <v>5.4027253534642695E-2</v>
      </c>
      <c r="AA113" s="76">
        <f t="shared" si="89"/>
        <v>3.7937432026101975E-2</v>
      </c>
      <c r="AB113" s="76">
        <f t="shared" si="90"/>
        <v>2.6421854008060904E-2</v>
      </c>
      <c r="AC113" s="76">
        <f t="shared" si="91"/>
        <v>0</v>
      </c>
      <c r="AE113" s="76">
        <f t="shared" si="92"/>
        <v>30.52982288379258</v>
      </c>
      <c r="AF113" s="76">
        <f t="shared" si="93"/>
        <v>26.029225018893911</v>
      </c>
      <c r="AG113" s="76">
        <f t="shared" si="106"/>
        <v>168.32065738149959</v>
      </c>
      <c r="AH113" s="76">
        <f t="shared" si="94"/>
        <v>103.91294153237993</v>
      </c>
      <c r="AI113" s="76">
        <f t="shared" si="95"/>
        <v>119.97906925279386</v>
      </c>
      <c r="AJ113" s="76">
        <f t="shared" si="96"/>
        <v>78.398302144342097</v>
      </c>
      <c r="AK113" s="76">
        <f t="shared" si="108"/>
        <v>121.89409922493384</v>
      </c>
      <c r="AL113" s="76">
        <f t="shared" si="97"/>
        <v>73.029894377684656</v>
      </c>
      <c r="AM113" s="76"/>
      <c r="AN113" s="76"/>
      <c r="AO113" s="76">
        <f t="shared" si="98"/>
        <v>6.1671654553227873E-2</v>
      </c>
      <c r="AP113" s="76">
        <f t="shared" si="99"/>
        <v>1.2288214485198286E-2</v>
      </c>
      <c r="AQ113" s="76">
        <f t="shared" si="107"/>
        <v>0.31201130759052087</v>
      </c>
      <c r="AR113" s="76">
        <f t="shared" si="100"/>
        <v>5.356362781007426E-2</v>
      </c>
      <c r="AS113" s="76">
        <f t="shared" si="101"/>
        <v>3.0734850768766959</v>
      </c>
      <c r="AT113" s="76">
        <f t="shared" si="102"/>
        <v>7.511841490804777E-2</v>
      </c>
      <c r="AU113" s="76">
        <f t="shared" si="109"/>
        <v>3.6025089986786753E-2</v>
      </c>
      <c r="AV113" s="76">
        <f t="shared" si="103"/>
        <v>5.5542480583666745E-2</v>
      </c>
      <c r="AW113" s="76"/>
      <c r="AY113" s="97">
        <v>2308</v>
      </c>
      <c r="AZ113" s="97">
        <v>66</v>
      </c>
      <c r="BA113" s="97">
        <v>10375</v>
      </c>
      <c r="BB113" s="97">
        <v>1594</v>
      </c>
      <c r="BC113" s="97">
        <v>40779</v>
      </c>
      <c r="BD113" s="97">
        <v>3378</v>
      </c>
      <c r="BE113" s="97">
        <v>2372</v>
      </c>
      <c r="BF113" s="97">
        <v>1652</v>
      </c>
      <c r="BG113" s="97"/>
      <c r="BI113" s="99">
        <v>37424</v>
      </c>
      <c r="BJ113" s="99">
        <v>5371</v>
      </c>
      <c r="BK113" s="99">
        <v>33252</v>
      </c>
      <c r="BL113" s="99">
        <v>29759</v>
      </c>
      <c r="BM113" s="99">
        <v>13268</v>
      </c>
      <c r="BN113" s="99">
        <v>44969</v>
      </c>
      <c r="BO113" s="99">
        <v>65843</v>
      </c>
      <c r="BP113" s="99">
        <v>29743</v>
      </c>
      <c r="BQ113" s="101"/>
    </row>
    <row r="114" spans="1:69">
      <c r="A114" s="4">
        <v>1914</v>
      </c>
      <c r="B114" s="51">
        <f t="shared" si="113"/>
        <v>82.466426221520635</v>
      </c>
      <c r="O114" s="51">
        <f t="shared" si="111"/>
        <v>102.07538091816676</v>
      </c>
      <c r="P114" s="51">
        <f t="shared" si="112"/>
        <v>81.587146135777559</v>
      </c>
      <c r="U114" s="76">
        <f t="shared" si="83"/>
        <v>4.2504674602088746E-2</v>
      </c>
      <c r="V114" s="76">
        <f t="shared" si="84"/>
        <v>8.5054955078214083E-3</v>
      </c>
      <c r="W114" s="76">
        <f t="shared" si="85"/>
        <v>0.16105714416016784</v>
      </c>
      <c r="X114" s="76">
        <f t="shared" si="86"/>
        <v>4.3348383271765406E-2</v>
      </c>
      <c r="Y114" s="76">
        <f t="shared" si="87"/>
        <v>0.61567929949377476</v>
      </c>
      <c r="Z114" s="76">
        <f t="shared" si="88"/>
        <v>5.5456742828476305E-2</v>
      </c>
      <c r="AA114" s="76">
        <f t="shared" si="89"/>
        <v>3.8035298946504308E-2</v>
      </c>
      <c r="AB114" s="76">
        <f t="shared" si="90"/>
        <v>3.5412961189401196E-2</v>
      </c>
      <c r="AC114" s="76">
        <f t="shared" si="91"/>
        <v>0</v>
      </c>
      <c r="AE114" s="76">
        <f t="shared" si="92"/>
        <v>30.319745844718664</v>
      </c>
      <c r="AF114" s="76">
        <f t="shared" si="93"/>
        <v>24.799076882776326</v>
      </c>
      <c r="AG114" s="76">
        <f t="shared" si="106"/>
        <v>161.5481530301316</v>
      </c>
      <c r="AH114" s="76">
        <f t="shared" si="94"/>
        <v>90.465642492151133</v>
      </c>
      <c r="AI114" s="76">
        <f t="shared" si="95"/>
        <v>93.522095201374412</v>
      </c>
      <c r="AJ114" s="76">
        <f t="shared" si="96"/>
        <v>68.761361940511591</v>
      </c>
      <c r="AK114" s="76">
        <f t="shared" si="108"/>
        <v>94.525373897577339</v>
      </c>
      <c r="AL114" s="76">
        <f t="shared" si="97"/>
        <v>75.382392250171549</v>
      </c>
      <c r="AO114" s="76">
        <f t="shared" si="98"/>
        <v>6.1247289216008409E-2</v>
      </c>
      <c r="AP114" s="76">
        <f t="shared" si="99"/>
        <v>1.1707470182046454E-2</v>
      </c>
      <c r="AQ114" s="76">
        <f t="shared" si="107"/>
        <v>0.29945730518103958</v>
      </c>
      <c r="AR114" s="76">
        <f t="shared" si="100"/>
        <v>4.6631997252612474E-2</v>
      </c>
      <c r="AS114" s="76">
        <f t="shared" si="101"/>
        <v>2.3957409050576755</v>
      </c>
      <c r="AT114" s="76">
        <f t="shared" si="102"/>
        <v>6.5884647685097386E-2</v>
      </c>
      <c r="AU114" s="76">
        <f t="shared" si="109"/>
        <v>2.7936422864990703E-2</v>
      </c>
      <c r="AV114" s="76">
        <f t="shared" si="103"/>
        <v>5.733165977554637E-2</v>
      </c>
      <c r="AW114" s="76"/>
      <c r="AY114" s="97">
        <v>1864</v>
      </c>
      <c r="AZ114" s="97">
        <v>373</v>
      </c>
      <c r="BA114" s="97">
        <v>7063</v>
      </c>
      <c r="BB114" s="97">
        <v>1901</v>
      </c>
      <c r="BC114" s="97">
        <v>27000</v>
      </c>
      <c r="BD114" s="97">
        <v>2432</v>
      </c>
      <c r="BE114" s="97">
        <v>1668</v>
      </c>
      <c r="BF114" s="97">
        <v>1553</v>
      </c>
      <c r="BG114" s="97"/>
      <c r="BI114" s="99">
        <v>30434</v>
      </c>
      <c r="BJ114" s="99">
        <v>31860</v>
      </c>
      <c r="BK114" s="99">
        <v>23586</v>
      </c>
      <c r="BL114" s="99">
        <v>40766</v>
      </c>
      <c r="BM114" s="99">
        <v>11270</v>
      </c>
      <c r="BN114" s="99">
        <v>36913</v>
      </c>
      <c r="BO114" s="99">
        <v>59707</v>
      </c>
      <c r="BP114" s="99">
        <v>27088</v>
      </c>
      <c r="BQ114" s="101"/>
    </row>
    <row r="115" spans="1:69">
      <c r="A115" s="4">
        <v>1915</v>
      </c>
      <c r="B115" s="51">
        <f t="shared" si="113"/>
        <v>73.530836686602782</v>
      </c>
      <c r="O115" s="51">
        <f t="shared" si="111"/>
        <v>94.801391499835006</v>
      </c>
      <c r="P115" s="51">
        <f t="shared" si="112"/>
        <v>69.841362972148758</v>
      </c>
      <c r="U115" s="76">
        <f t="shared" si="83"/>
        <v>5.7124659142931073E-3</v>
      </c>
      <c r="V115" s="76">
        <f t="shared" si="84"/>
        <v>1.5047471188869649E-2</v>
      </c>
      <c r="W115" s="76">
        <f t="shared" si="85"/>
        <v>0.14012459943074382</v>
      </c>
      <c r="X115" s="76">
        <f t="shared" si="86"/>
        <v>5.7602356640990428E-2</v>
      </c>
      <c r="Y115" s="76">
        <f t="shared" si="87"/>
        <v>0.64073167333452763</v>
      </c>
      <c r="Z115" s="76">
        <f t="shared" si="88"/>
        <v>8.0253179673971456E-2</v>
      </c>
      <c r="AA115" s="76">
        <f t="shared" si="89"/>
        <v>3.706136422443821E-2</v>
      </c>
      <c r="AB115" s="76">
        <f t="shared" si="90"/>
        <v>2.3466889592165762E-2</v>
      </c>
      <c r="AC115" s="76">
        <f t="shared" si="91"/>
        <v>0</v>
      </c>
      <c r="AE115" s="76">
        <f t="shared" si="92"/>
        <v>27.175966755637582</v>
      </c>
      <c r="AF115" s="76">
        <f t="shared" si="93"/>
        <v>27.064043379839873</v>
      </c>
      <c r="AG115" s="76">
        <f t="shared" si="106"/>
        <v>217.78008678632563</v>
      </c>
      <c r="AH115" s="76">
        <f t="shared" si="94"/>
        <v>124.81843439015839</v>
      </c>
      <c r="AI115" s="76">
        <f t="shared" si="95"/>
        <v>73.655361415338177</v>
      </c>
      <c r="AJ115" s="76">
        <f t="shared" si="96"/>
        <v>84.983617022534233</v>
      </c>
      <c r="AK115" s="76">
        <f t="shared" si="108"/>
        <v>82.515752970508657</v>
      </c>
      <c r="AL115" s="76">
        <f t="shared" si="97"/>
        <v>56.527321269924421</v>
      </c>
      <c r="AO115" s="76">
        <f t="shared" si="98"/>
        <v>5.4896710022953328E-2</v>
      </c>
      <c r="AP115" s="76">
        <f t="shared" si="99"/>
        <v>1.2776744972114246E-2</v>
      </c>
      <c r="AQ115" s="76">
        <f t="shared" si="107"/>
        <v>0.40369287229772349</v>
      </c>
      <c r="AR115" s="76">
        <f t="shared" si="100"/>
        <v>6.4339706536238328E-2</v>
      </c>
      <c r="AS115" s="76">
        <f t="shared" si="101"/>
        <v>1.8868178887521247</v>
      </c>
      <c r="AT115" s="76">
        <f t="shared" si="102"/>
        <v>8.1428225220130865E-2</v>
      </c>
      <c r="AU115" s="76">
        <f t="shared" si="109"/>
        <v>2.4387049455155071E-2</v>
      </c>
      <c r="AV115" s="76">
        <f t="shared" si="103"/>
        <v>4.2991540256709454E-2</v>
      </c>
      <c r="AW115" s="76"/>
      <c r="AY115" s="97">
        <v>287</v>
      </c>
      <c r="AZ115" s="97">
        <v>756</v>
      </c>
      <c r="BA115" s="97">
        <v>7040</v>
      </c>
      <c r="BB115" s="97">
        <v>2894</v>
      </c>
      <c r="BC115" s="97">
        <v>32191</v>
      </c>
      <c r="BD115" s="97">
        <v>4032</v>
      </c>
      <c r="BE115" s="97">
        <v>1862</v>
      </c>
      <c r="BF115" s="97">
        <v>1179</v>
      </c>
      <c r="BG115" s="97"/>
      <c r="BI115" s="99">
        <v>5228</v>
      </c>
      <c r="BJ115" s="99">
        <v>59170</v>
      </c>
      <c r="BK115" s="99">
        <v>17439</v>
      </c>
      <c r="BL115" s="99">
        <v>44980</v>
      </c>
      <c r="BM115" s="99">
        <v>17061</v>
      </c>
      <c r="BN115" s="99">
        <v>49516</v>
      </c>
      <c r="BO115" s="99">
        <v>76352</v>
      </c>
      <c r="BP115" s="99">
        <v>27424</v>
      </c>
      <c r="BQ115" s="101"/>
    </row>
    <row r="116" spans="1:69">
      <c r="A116" s="4">
        <v>1916</v>
      </c>
      <c r="B116" s="51">
        <f t="shared" si="113"/>
        <v>86.610948725804576</v>
      </c>
      <c r="O116" s="51">
        <f t="shared" si="111"/>
        <v>106.6423192287043</v>
      </c>
      <c r="P116" s="51">
        <f t="shared" si="112"/>
        <v>86.139909855978246</v>
      </c>
      <c r="U116" s="76">
        <f t="shared" si="83"/>
        <v>2.439966653789065E-3</v>
      </c>
      <c r="V116" s="76">
        <f t="shared" si="84"/>
        <v>2.6554970415404323E-2</v>
      </c>
      <c r="W116" s="76">
        <f t="shared" si="85"/>
        <v>0.15241658364002358</v>
      </c>
      <c r="X116" s="76">
        <f t="shared" si="86"/>
        <v>5.0832638620605518E-2</v>
      </c>
      <c r="Y116" s="76">
        <f t="shared" si="87"/>
        <v>0.59537219657998008</v>
      </c>
      <c r="Z116" s="76">
        <f t="shared" si="88"/>
        <v>0.10251926557003721</v>
      </c>
      <c r="AA116" s="76">
        <f t="shared" si="89"/>
        <v>3.8327809519936563E-2</v>
      </c>
      <c r="AB116" s="76">
        <f t="shared" si="90"/>
        <v>3.1536569000223662E-2</v>
      </c>
      <c r="AC116" s="76">
        <f t="shared" si="91"/>
        <v>0</v>
      </c>
      <c r="AE116" s="76">
        <f t="shared" si="92"/>
        <v>55.466461393717793</v>
      </c>
      <c r="AF116" s="76">
        <f t="shared" si="93"/>
        <v>50.817520419359987</v>
      </c>
      <c r="AG116" s="76">
        <f t="shared" si="106"/>
        <v>203.66986313605051</v>
      </c>
      <c r="AH116" s="76">
        <f t="shared" si="94"/>
        <v>110.93268139063397</v>
      </c>
      <c r="AI116" s="76">
        <f t="shared" si="95"/>
        <v>87.662933400072077</v>
      </c>
      <c r="AJ116" s="76">
        <f t="shared" si="96"/>
        <v>93.082648789954874</v>
      </c>
      <c r="AK116" s="76">
        <f t="shared" si="108"/>
        <v>83.073686027619715</v>
      </c>
      <c r="AL116" s="76">
        <f t="shared" si="97"/>
        <v>94.378403655018531</v>
      </c>
      <c r="AO116" s="76">
        <f t="shared" si="98"/>
        <v>0.11204481792717087</v>
      </c>
      <c r="AP116" s="76">
        <f t="shared" si="99"/>
        <v>2.399059480509938E-2</v>
      </c>
      <c r="AQ116" s="76">
        <f t="shared" si="107"/>
        <v>0.37753714429614704</v>
      </c>
      <c r="AR116" s="76">
        <f t="shared" si="100"/>
        <v>5.7182067703568158E-2</v>
      </c>
      <c r="AS116" s="76">
        <f t="shared" si="101"/>
        <v>2.2456476723675127</v>
      </c>
      <c r="AT116" s="76">
        <f t="shared" si="102"/>
        <v>8.9188424255289042E-2</v>
      </c>
      <c r="AU116" s="76">
        <f t="shared" si="109"/>
        <v>2.4551943315619464E-2</v>
      </c>
      <c r="AV116" s="76">
        <f t="shared" si="103"/>
        <v>7.1778970751573495E-2</v>
      </c>
      <c r="AW116" s="76"/>
      <c r="AY116" s="97">
        <v>120</v>
      </c>
      <c r="AZ116" s="97">
        <v>1306</v>
      </c>
      <c r="BA116" s="97">
        <v>7496</v>
      </c>
      <c r="BB116" s="97">
        <v>2500</v>
      </c>
      <c r="BC116" s="97">
        <v>29281</v>
      </c>
      <c r="BD116" s="97">
        <v>5042</v>
      </c>
      <c r="BE116" s="97">
        <v>1885</v>
      </c>
      <c r="BF116" s="97">
        <v>1551</v>
      </c>
      <c r="BG116" s="97"/>
      <c r="BI116" s="99">
        <v>1071</v>
      </c>
      <c r="BJ116" s="99">
        <v>54438</v>
      </c>
      <c r="BK116" s="99">
        <v>19855</v>
      </c>
      <c r="BL116" s="99">
        <v>43720</v>
      </c>
      <c r="BM116" s="99">
        <v>13039</v>
      </c>
      <c r="BN116" s="99">
        <v>56532</v>
      </c>
      <c r="BO116" s="99">
        <v>76776</v>
      </c>
      <c r="BP116" s="99">
        <v>21608</v>
      </c>
      <c r="BQ116" s="101"/>
    </row>
    <row r="117" spans="1:69">
      <c r="A117" s="4">
        <v>1917</v>
      </c>
      <c r="B117" s="51">
        <f t="shared" si="113"/>
        <v>86.76281319635703</v>
      </c>
      <c r="O117" s="51">
        <f t="shared" si="111"/>
        <v>107.74797132863695</v>
      </c>
      <c r="P117" s="51">
        <f t="shared" si="112"/>
        <v>85.555227589376159</v>
      </c>
      <c r="U117" s="76">
        <f t="shared" si="83"/>
        <v>1.7227520583954291E-2</v>
      </c>
      <c r="V117" s="76">
        <f t="shared" si="84"/>
        <v>8.3856531467923795E-2</v>
      </c>
      <c r="W117" s="76">
        <f t="shared" si="85"/>
        <v>0.16258608329169472</v>
      </c>
      <c r="X117" s="76">
        <f t="shared" si="86"/>
        <v>5.509330668462558E-2</v>
      </c>
      <c r="Y117" s="76">
        <f t="shared" si="87"/>
        <v>0.50083639286567749</v>
      </c>
      <c r="Z117" s="76">
        <f t="shared" si="88"/>
        <v>0.11275010319132758</v>
      </c>
      <c r="AA117" s="76">
        <f t="shared" si="89"/>
        <v>3.9495122851991048E-2</v>
      </c>
      <c r="AB117" s="76">
        <f t="shared" si="90"/>
        <v>2.8154939062805501E-2</v>
      </c>
      <c r="AC117" s="76">
        <f t="shared" si="91"/>
        <v>0</v>
      </c>
      <c r="AE117" s="76">
        <f t="shared" ref="AE117:AE139" si="114">(AO117/AO$118)*100</f>
        <v>66.077304692067429</v>
      </c>
      <c r="AF117" s="76">
        <f t="shared" ref="AF117:AF139" si="115">(AP117/AP$118)*100</f>
        <v>59.180765469079624</v>
      </c>
      <c r="AG117" s="76">
        <f t="shared" si="106"/>
        <v>224.36185027773678</v>
      </c>
      <c r="AH117" s="76">
        <f t="shared" ref="AH117:AH139" si="116">(AR117/AR$118)*100</f>
        <v>88.452499896734267</v>
      </c>
      <c r="AI117" s="76">
        <f t="shared" ref="AI117:AI139" si="117">(AS117/AS$118)*100</f>
        <v>84.853360340568614</v>
      </c>
      <c r="AJ117" s="76">
        <f t="shared" ref="AJ117:AJ139" si="118">(AT117/AT$118)*100</f>
        <v>127.22215354677908</v>
      </c>
      <c r="AK117" s="76">
        <f t="shared" si="108"/>
        <v>94.013003829323793</v>
      </c>
      <c r="AL117" s="76">
        <f t="shared" ref="AL117:AL139" si="119">(AV117/AV$118)*100</f>
        <v>65.404253533595423</v>
      </c>
      <c r="AO117" s="76">
        <f t="shared" ref="AO117:AO139" si="120">AY117/BI117</f>
        <v>0.13347921225382933</v>
      </c>
      <c r="AP117" s="76">
        <f t="shared" ref="AP117:AP139" si="121">AZ117/BJ117</f>
        <v>2.7938824108454753E-2</v>
      </c>
      <c r="AQ117" s="76">
        <f t="shared" si="107"/>
        <v>0.41589330369547095</v>
      </c>
      <c r="AR117" s="76">
        <f t="shared" ref="AR117:AR139" si="122">BB117/BL117</f>
        <v>4.5594289926466622E-2</v>
      </c>
      <c r="AS117" s="76">
        <f t="shared" ref="AS117:AS139" si="123">BC117/BM117</f>
        <v>2.1736752781444464</v>
      </c>
      <c r="AT117" s="76">
        <f t="shared" ref="AT117:AT139" si="124">BD117/BN117</f>
        <v>0.12189966178128524</v>
      </c>
      <c r="AU117" s="76">
        <f t="shared" si="109"/>
        <v>2.7784994880102703E-2</v>
      </c>
      <c r="AV117" s="76">
        <f t="shared" ref="AV117:AV139" si="125">BF117/BP117</f>
        <v>4.9742841790128195E-2</v>
      </c>
      <c r="AW117" s="76"/>
      <c r="AY117" s="97">
        <v>793</v>
      </c>
      <c r="AZ117" s="97">
        <v>3860</v>
      </c>
      <c r="BA117" s="97">
        <v>7484</v>
      </c>
      <c r="BB117" s="97">
        <v>2536</v>
      </c>
      <c r="BC117" s="97">
        <v>23054</v>
      </c>
      <c r="BD117" s="97">
        <v>5190</v>
      </c>
      <c r="BE117" s="97">
        <v>1818</v>
      </c>
      <c r="BF117" s="97">
        <v>1296</v>
      </c>
      <c r="BG117" s="97"/>
      <c r="BI117" s="99">
        <v>5941</v>
      </c>
      <c r="BJ117" s="99">
        <v>138159</v>
      </c>
      <c r="BK117" s="99">
        <v>17995</v>
      </c>
      <c r="BL117" s="99">
        <v>55621</v>
      </c>
      <c r="BM117" s="99">
        <v>10606</v>
      </c>
      <c r="BN117" s="99">
        <v>42576</v>
      </c>
      <c r="BO117" s="99">
        <v>65431</v>
      </c>
      <c r="BP117" s="99">
        <v>26054</v>
      </c>
      <c r="BQ117" s="101"/>
    </row>
    <row r="118" spans="1:69">
      <c r="A118" s="4">
        <v>1918</v>
      </c>
      <c r="B118" s="51">
        <f t="shared" si="113"/>
        <v>90.366153922374622</v>
      </c>
      <c r="O118" s="51">
        <f t="shared" si="111"/>
        <v>100.00000000000009</v>
      </c>
      <c r="P118" s="51">
        <f t="shared" ref="P118:P131" si="126">Q118</f>
        <v>100.00000000000006</v>
      </c>
      <c r="Q118" s="51">
        <f t="shared" ref="Q118:Q131" si="127">(AF118^V$16)*(AH118^X$16)*(AI118^Y$16)*(AJ118^Z$16)*(AL118^AB$16)*(AG118^W$16)*(AK118^AA$16)*(AE118^U$16)*(AM118^AC$16)</f>
        <v>100.00000000000006</v>
      </c>
      <c r="U118" s="76">
        <f t="shared" ref="U118:U139" si="128">AY118/SUM($AY118:$BG118)</f>
        <v>1.1552028218694886E-2</v>
      </c>
      <c r="V118" s="76">
        <f t="shared" ref="V118:V139" si="129">AZ118/SUM($AY118:$BG118)</f>
        <v>0.12034832451499118</v>
      </c>
      <c r="W118" s="76">
        <f t="shared" ref="W118:W139" si="130">BA118/SUM($AY118:$BG118)</f>
        <v>8.8139329805996466E-2</v>
      </c>
      <c r="X118" s="76">
        <f t="shared" ref="X118:X139" si="131">BB118/SUM($AY118:$BG118)</f>
        <v>4.7574955908289245E-2</v>
      </c>
      <c r="Y118" s="76">
        <f t="shared" ref="Y118:Y139" si="132">BC118/SUM($AY118:$BG118)</f>
        <v>0.4197751322751323</v>
      </c>
      <c r="Z118" s="76">
        <f t="shared" ref="Z118:Z139" si="133">BD118/SUM($AY118:$BG118)</f>
        <v>0.10123456790123457</v>
      </c>
      <c r="AA118" s="76">
        <f t="shared" ref="AA118:AA139" si="134">BE118/SUM($AY118:$BG118)</f>
        <v>4.7420634920634919E-2</v>
      </c>
      <c r="AB118" s="76">
        <f t="shared" ref="AB118:AB139" si="135">BF118/SUM($AY118:$BG118)</f>
        <v>4.9889770723104056E-2</v>
      </c>
      <c r="AC118" s="76">
        <f t="shared" ref="AC118:AC139" si="136">BG118/SUM($AY118:$BG118)</f>
        <v>0.1140652557319224</v>
      </c>
      <c r="AE118" s="76">
        <f t="shared" si="114"/>
        <v>100</v>
      </c>
      <c r="AF118" s="76">
        <f t="shared" si="115"/>
        <v>100</v>
      </c>
      <c r="AG118" s="76">
        <f t="shared" si="106"/>
        <v>100</v>
      </c>
      <c r="AH118" s="76">
        <f t="shared" si="116"/>
        <v>100</v>
      </c>
      <c r="AI118" s="76">
        <f t="shared" si="117"/>
        <v>100</v>
      </c>
      <c r="AJ118" s="76">
        <f t="shared" si="118"/>
        <v>100</v>
      </c>
      <c r="AK118" s="76">
        <f t="shared" si="108"/>
        <v>100</v>
      </c>
      <c r="AL118" s="76">
        <f t="shared" si="119"/>
        <v>100</v>
      </c>
      <c r="AM118" s="76">
        <f t="shared" ref="AM118:AM139" si="137">(AW118/AW$118)*100</f>
        <v>100</v>
      </c>
      <c r="AN118" s="76"/>
      <c r="AO118" s="76">
        <f t="shared" si="120"/>
        <v>0.20200462606013878</v>
      </c>
      <c r="AP118" s="76">
        <f t="shared" si="121"/>
        <v>4.7209298303267207E-2</v>
      </c>
      <c r="AQ118" s="76">
        <f t="shared" si="107"/>
        <v>0.18536721068249259</v>
      </c>
      <c r="AR118" s="76">
        <f t="shared" si="122"/>
        <v>5.1546638003105216E-2</v>
      </c>
      <c r="AS118" s="76">
        <f t="shared" si="123"/>
        <v>2.5616843804654916</v>
      </c>
      <c r="AT118" s="76">
        <f t="shared" si="124"/>
        <v>9.5816379760041731E-2</v>
      </c>
      <c r="AU118" s="76">
        <f t="shared" si="109"/>
        <v>2.9554416674681578E-2</v>
      </c>
      <c r="AV118" s="76">
        <f t="shared" si="125"/>
        <v>7.6054444631154433E-2</v>
      </c>
      <c r="AW118" s="96">
        <f t="shared" ref="AW118:AW139" si="138">BG118/BQ118</f>
        <v>1.7385460593740024E-2</v>
      </c>
      <c r="AY118" s="97">
        <v>524</v>
      </c>
      <c r="AZ118" s="97">
        <v>5459</v>
      </c>
      <c r="BA118" s="97">
        <v>3998</v>
      </c>
      <c r="BB118" s="97">
        <v>2158</v>
      </c>
      <c r="BC118" s="97">
        <v>19041</v>
      </c>
      <c r="BD118" s="97">
        <v>4592</v>
      </c>
      <c r="BE118" s="97">
        <v>2151</v>
      </c>
      <c r="BF118" s="97">
        <v>2263</v>
      </c>
      <c r="BG118" s="97">
        <v>5174</v>
      </c>
      <c r="BI118" s="99">
        <v>2594</v>
      </c>
      <c r="BJ118" s="99">
        <v>115634</v>
      </c>
      <c r="BK118" s="99">
        <v>21568</v>
      </c>
      <c r="BL118" s="99">
        <v>41865</v>
      </c>
      <c r="BM118" s="99">
        <v>7433</v>
      </c>
      <c r="BN118" s="99">
        <v>47925</v>
      </c>
      <c r="BO118" s="99">
        <v>72781</v>
      </c>
      <c r="BP118" s="99">
        <v>29755</v>
      </c>
      <c r="BQ118" s="101">
        <v>297605</v>
      </c>
    </row>
    <row r="119" spans="1:69">
      <c r="A119" s="4">
        <v>1919</v>
      </c>
      <c r="B119" s="51">
        <f t="shared" si="113"/>
        <v>147.90400076452642</v>
      </c>
      <c r="O119" s="51">
        <f t="shared" si="111"/>
        <v>168.44521529997849</v>
      </c>
      <c r="P119" s="51">
        <f t="shared" si="126"/>
        <v>159.03384781229227</v>
      </c>
      <c r="Q119" s="51">
        <f t="shared" si="127"/>
        <v>159.03384781229227</v>
      </c>
      <c r="U119" s="76">
        <f t="shared" si="128"/>
        <v>1.9304152637485972E-2</v>
      </c>
      <c r="V119" s="76">
        <f t="shared" si="129"/>
        <v>3.031278973307959E-2</v>
      </c>
      <c r="W119" s="76">
        <f t="shared" si="130"/>
        <v>5.5492119260235201E-2</v>
      </c>
      <c r="X119" s="76">
        <f t="shared" si="131"/>
        <v>4.9041135997657734E-2</v>
      </c>
      <c r="Y119" s="76">
        <f t="shared" si="132"/>
        <v>0.6449128970868101</v>
      </c>
      <c r="Z119" s="76">
        <f t="shared" si="133"/>
        <v>7.7782657492802415E-2</v>
      </c>
      <c r="AA119" s="76">
        <f t="shared" si="134"/>
        <v>2.7609427609427608E-2</v>
      </c>
      <c r="AB119" s="76">
        <f t="shared" si="135"/>
        <v>3.793490460157127E-2</v>
      </c>
      <c r="AC119" s="76">
        <f t="shared" si="136"/>
        <v>5.7609915580930073E-2</v>
      </c>
      <c r="AE119" s="76">
        <f t="shared" si="114"/>
        <v>80.571504664132817</v>
      </c>
      <c r="AF119" s="76">
        <f t="shared" si="115"/>
        <v>94.761733327865443</v>
      </c>
      <c r="AG119" s="76">
        <f t="shared" si="106"/>
        <v>130.32352944114493</v>
      </c>
      <c r="AH119" s="76">
        <f t="shared" si="116"/>
        <v>155.76590548863959</v>
      </c>
      <c r="AI119" s="76">
        <f t="shared" si="117"/>
        <v>198.99651248920085</v>
      </c>
      <c r="AJ119" s="76">
        <f t="shared" si="118"/>
        <v>135.87495914810873</v>
      </c>
      <c r="AK119" s="76">
        <f t="shared" si="108"/>
        <v>106.12165588943832</v>
      </c>
      <c r="AL119" s="76">
        <f t="shared" si="119"/>
        <v>118.08716305788775</v>
      </c>
      <c r="AM119" s="76">
        <f t="shared" si="137"/>
        <v>108.91834079560043</v>
      </c>
      <c r="AN119" s="76"/>
      <c r="AO119" s="76">
        <f t="shared" si="120"/>
        <v>0.16275816670780877</v>
      </c>
      <c r="AP119" s="76">
        <f t="shared" si="121"/>
        <v>4.4736349364098572E-2</v>
      </c>
      <c r="AQ119" s="76">
        <f t="shared" si="107"/>
        <v>0.24157709138802735</v>
      </c>
      <c r="AR119" s="76">
        <f t="shared" si="122"/>
        <v>8.0292087434488055E-2</v>
      </c>
      <c r="AS119" s="76">
        <f t="shared" si="123"/>
        <v>5.0976625781069194</v>
      </c>
      <c r="AT119" s="76">
        <f t="shared" si="124"/>
        <v>0.13019046685615343</v>
      </c>
      <c r="AU119" s="76">
        <f t="shared" si="109"/>
        <v>3.1363636363636364E-2</v>
      </c>
      <c r="AV119" s="76">
        <f t="shared" si="125"/>
        <v>8.9810536044362288E-2</v>
      </c>
      <c r="AW119" s="96">
        <f t="shared" si="138"/>
        <v>1.893595521837458E-2</v>
      </c>
      <c r="AY119" s="97">
        <v>1978</v>
      </c>
      <c r="AZ119" s="97">
        <v>3106</v>
      </c>
      <c r="BA119" s="97">
        <v>5686</v>
      </c>
      <c r="BB119" s="97">
        <v>5025</v>
      </c>
      <c r="BC119" s="97">
        <v>66081</v>
      </c>
      <c r="BD119" s="97">
        <v>7970</v>
      </c>
      <c r="BE119" s="97">
        <v>2829</v>
      </c>
      <c r="BF119" s="97">
        <v>3887</v>
      </c>
      <c r="BG119" s="97">
        <v>5903</v>
      </c>
      <c r="BI119" s="99">
        <v>12153</v>
      </c>
      <c r="BJ119" s="99">
        <v>69429</v>
      </c>
      <c r="BK119" s="99">
        <v>23537</v>
      </c>
      <c r="BL119" s="99">
        <v>62584</v>
      </c>
      <c r="BM119" s="99">
        <v>12963</v>
      </c>
      <c r="BN119" s="99">
        <v>61218</v>
      </c>
      <c r="BO119" s="99">
        <v>90200</v>
      </c>
      <c r="BP119" s="99">
        <v>43280</v>
      </c>
      <c r="BQ119" s="101">
        <v>311735</v>
      </c>
    </row>
    <row r="120" spans="1:69">
      <c r="A120" s="4">
        <v>1920</v>
      </c>
      <c r="B120" s="51">
        <f t="shared" si="113"/>
        <v>108.30073523566526</v>
      </c>
      <c r="O120" s="51">
        <f t="shared" si="111"/>
        <v>109.82892028898252</v>
      </c>
      <c r="P120" s="51">
        <f t="shared" si="126"/>
        <v>130.77794193260556</v>
      </c>
      <c r="Q120" s="51">
        <f t="shared" si="127"/>
        <v>130.77794193260556</v>
      </c>
      <c r="U120" s="76">
        <f t="shared" si="128"/>
        <v>5.1636096245761674E-2</v>
      </c>
      <c r="V120" s="76">
        <f t="shared" si="129"/>
        <v>6.7717907866606752E-2</v>
      </c>
      <c r="W120" s="76">
        <f t="shared" si="130"/>
        <v>3.7338126557457413E-2</v>
      </c>
      <c r="X120" s="76">
        <f t="shared" si="131"/>
        <v>4.1368792298160331E-2</v>
      </c>
      <c r="Y120" s="76">
        <f t="shared" si="132"/>
        <v>0.55089396353336872</v>
      </c>
      <c r="Z120" s="76">
        <f t="shared" si="133"/>
        <v>7.0209839726568357E-2</v>
      </c>
      <c r="AA120" s="76">
        <f t="shared" si="134"/>
        <v>3.235426283753421E-2</v>
      </c>
      <c r="AB120" s="76">
        <f t="shared" si="135"/>
        <v>2.6880183014012009E-2</v>
      </c>
      <c r="AC120" s="76">
        <f t="shared" si="136"/>
        <v>0.12160082792053052</v>
      </c>
      <c r="AE120" s="76">
        <f t="shared" si="114"/>
        <v>76.011691481390812</v>
      </c>
      <c r="AF120" s="76">
        <f t="shared" si="115"/>
        <v>96.516815717370761</v>
      </c>
      <c r="AG120" s="76">
        <f t="shared" si="106"/>
        <v>63.587070154601868</v>
      </c>
      <c r="AH120" s="76">
        <f t="shared" si="116"/>
        <v>108.30209750822834</v>
      </c>
      <c r="AI120" s="76">
        <f t="shared" si="117"/>
        <v>137.03022989208924</v>
      </c>
      <c r="AJ120" s="76">
        <f t="shared" si="118"/>
        <v>130.73042784801856</v>
      </c>
      <c r="AK120" s="76">
        <f t="shared" si="108"/>
        <v>88.651032478891494</v>
      </c>
      <c r="AL120" s="76">
        <f t="shared" si="119"/>
        <v>82.478282079873594</v>
      </c>
      <c r="AM120" s="76">
        <f t="shared" si="137"/>
        <v>182.48232321457462</v>
      </c>
      <c r="AN120" s="76"/>
      <c r="AO120" s="76">
        <f t="shared" si="120"/>
        <v>0.15354713313896987</v>
      </c>
      <c r="AP120" s="76">
        <f t="shared" si="121"/>
        <v>4.556491144482825E-2</v>
      </c>
      <c r="AQ120" s="76">
        <f t="shared" si="107"/>
        <v>0.1178695783003052</v>
      </c>
      <c r="AR120" s="76">
        <f t="shared" si="122"/>
        <v>5.5826090152336499E-2</v>
      </c>
      <c r="AS120" s="76">
        <f t="shared" si="123"/>
        <v>3.5102819956616051</v>
      </c>
      <c r="AT120" s="76">
        <f t="shared" si="124"/>
        <v>0.1252611632087848</v>
      </c>
      <c r="AU120" s="76">
        <f t="shared" si="109"/>
        <v>2.6200295525218888E-2</v>
      </c>
      <c r="AV120" s="76">
        <f t="shared" si="125"/>
        <v>6.2728399377164831E-2</v>
      </c>
      <c r="AW120" s="96">
        <f t="shared" si="138"/>
        <v>3.1725392393011177E-2</v>
      </c>
      <c r="AY120" s="97">
        <v>3792</v>
      </c>
      <c r="AZ120" s="97">
        <v>4973</v>
      </c>
      <c r="BA120" s="97">
        <v>2742</v>
      </c>
      <c r="BB120" s="97">
        <v>3038</v>
      </c>
      <c r="BC120" s="97">
        <v>40456</v>
      </c>
      <c r="BD120" s="97">
        <v>5156</v>
      </c>
      <c r="BE120" s="97">
        <v>2376</v>
      </c>
      <c r="BF120" s="97">
        <v>1974</v>
      </c>
      <c r="BG120" s="97">
        <v>8930</v>
      </c>
      <c r="BI120" s="99">
        <v>24696</v>
      </c>
      <c r="BJ120" s="99">
        <v>109141</v>
      </c>
      <c r="BK120" s="99">
        <v>23263</v>
      </c>
      <c r="BL120" s="99">
        <v>54419</v>
      </c>
      <c r="BM120" s="99">
        <v>11525</v>
      </c>
      <c r="BN120" s="99">
        <v>41162</v>
      </c>
      <c r="BO120" s="99">
        <v>90686</v>
      </c>
      <c r="BP120" s="99">
        <v>31469</v>
      </c>
      <c r="BQ120" s="101">
        <v>281478</v>
      </c>
    </row>
    <row r="121" spans="1:69">
      <c r="A121" s="4">
        <v>1921</v>
      </c>
      <c r="B121" s="51">
        <f t="shared" si="113"/>
        <v>57.790753628618049</v>
      </c>
      <c r="O121" s="51">
        <f t="shared" si="111"/>
        <v>55.992988639502073</v>
      </c>
      <c r="P121" s="51">
        <f t="shared" si="126"/>
        <v>73.04180047420445</v>
      </c>
      <c r="Q121" s="51">
        <f t="shared" si="127"/>
        <v>73.04180047420445</v>
      </c>
      <c r="R121" s="51">
        <f t="shared" ref="R121:R139" si="139">(AF121^V$17)*(AH121^X$17)*(AI121^Y$17)*(AJ121^Z$17)*(AL121^AB$17)*(AG121^W$17)*(AK121^AA$17)*(AE121^U$17)*(AM121^AC$17)</f>
        <v>78.65120680528409</v>
      </c>
      <c r="U121" s="76">
        <f t="shared" si="128"/>
        <v>2.7578100275781003E-2</v>
      </c>
      <c r="V121" s="76">
        <f t="shared" si="129"/>
        <v>5.6670735566707355E-2</v>
      </c>
      <c r="W121" s="76">
        <f t="shared" si="130"/>
        <v>2.1565170215651703E-2</v>
      </c>
      <c r="X121" s="76">
        <f t="shared" si="131"/>
        <v>2.8550115285501151E-2</v>
      </c>
      <c r="Y121" s="76">
        <f t="shared" si="132"/>
        <v>0.61184954111849543</v>
      </c>
      <c r="Z121" s="76">
        <f t="shared" si="133"/>
        <v>4.4712690447126904E-2</v>
      </c>
      <c r="AA121" s="76">
        <f t="shared" si="134"/>
        <v>2.6063565260635652E-2</v>
      </c>
      <c r="AB121" s="76">
        <f t="shared" si="135"/>
        <v>3.3093720330937201E-2</v>
      </c>
      <c r="AC121" s="76">
        <f t="shared" si="136"/>
        <v>0.14991636149916363</v>
      </c>
      <c r="AE121" s="76">
        <f t="shared" si="114"/>
        <v>30.802599320931108</v>
      </c>
      <c r="AF121" s="76">
        <f t="shared" si="115"/>
        <v>30.857522871946426</v>
      </c>
      <c r="AG121" s="76">
        <f t="shared" si="106"/>
        <v>19.671818938289569</v>
      </c>
      <c r="AH121" s="76">
        <f t="shared" si="116"/>
        <v>57.137054187378013</v>
      </c>
      <c r="AI121" s="76">
        <f t="shared" si="117"/>
        <v>85.424001903479791</v>
      </c>
      <c r="AJ121" s="76">
        <f t="shared" si="118"/>
        <v>45.661694323123911</v>
      </c>
      <c r="AK121" s="76">
        <f t="shared" si="108"/>
        <v>54.260534217413522</v>
      </c>
      <c r="AL121" s="76">
        <f t="shared" si="119"/>
        <v>58.473171614363665</v>
      </c>
      <c r="AM121" s="76">
        <f t="shared" si="137"/>
        <v>100.77035106361349</v>
      </c>
      <c r="AN121" s="76"/>
      <c r="AO121" s="76">
        <f t="shared" si="120"/>
        <v>6.2222675575049728E-2</v>
      </c>
      <c r="AP121" s="76">
        <f t="shared" si="121"/>
        <v>1.4567620021616094E-2</v>
      </c>
      <c r="AQ121" s="76">
        <f t="shared" si="107"/>
        <v>3.6465102056417703E-2</v>
      </c>
      <c r="AR121" s="76">
        <f t="shared" si="122"/>
        <v>2.9452230487605813E-2</v>
      </c>
      <c r="AS121" s="76">
        <f t="shared" si="123"/>
        <v>2.1882933139299863</v>
      </c>
      <c r="AT121" s="76">
        <f t="shared" si="124"/>
        <v>4.3751382437513822E-2</v>
      </c>
      <c r="AU121" s="76">
        <f t="shared" si="109"/>
        <v>1.6036384372522566E-2</v>
      </c>
      <c r="AV121" s="76">
        <f t="shared" si="125"/>
        <v>4.4471445929526121E-2</v>
      </c>
      <c r="AW121" s="96">
        <f t="shared" si="138"/>
        <v>1.7519389674338005E-2</v>
      </c>
      <c r="AY121" s="97">
        <v>1220</v>
      </c>
      <c r="AZ121" s="97">
        <v>2507</v>
      </c>
      <c r="BA121" s="97">
        <v>954</v>
      </c>
      <c r="BB121" s="97">
        <v>1263</v>
      </c>
      <c r="BC121" s="97">
        <v>27067</v>
      </c>
      <c r="BD121" s="97">
        <v>1978</v>
      </c>
      <c r="BE121" s="97">
        <v>1153</v>
      </c>
      <c r="BF121" s="97">
        <v>1464</v>
      </c>
      <c r="BG121" s="97">
        <v>6632</v>
      </c>
      <c r="BI121" s="99">
        <v>19607</v>
      </c>
      <c r="BJ121" s="99">
        <v>172094</v>
      </c>
      <c r="BK121" s="99">
        <v>26162</v>
      </c>
      <c r="BL121" s="99">
        <v>42883</v>
      </c>
      <c r="BM121" s="99">
        <v>12369</v>
      </c>
      <c r="BN121" s="99">
        <v>45210</v>
      </c>
      <c r="BO121" s="99">
        <v>71899</v>
      </c>
      <c r="BP121" s="99">
        <v>32920</v>
      </c>
      <c r="BQ121" s="101">
        <v>378552</v>
      </c>
    </row>
    <row r="122" spans="1:69">
      <c r="A122" s="4">
        <v>1922</v>
      </c>
      <c r="B122" s="51">
        <f>(GEOMEAN(P122,R122)/GEOMEAN(P$121,R$121))*B$121</f>
        <v>71.237614777444691</v>
      </c>
      <c r="P122" s="51">
        <f t="shared" si="126"/>
        <v>86.503982237945749</v>
      </c>
      <c r="Q122" s="51">
        <f t="shared" si="127"/>
        <v>86.503982237945749</v>
      </c>
      <c r="R122" s="51">
        <f t="shared" si="139"/>
        <v>100.91199296114961</v>
      </c>
      <c r="U122" s="76">
        <f t="shared" si="128"/>
        <v>4.6289218434150403E-2</v>
      </c>
      <c r="V122" s="76">
        <f t="shared" si="129"/>
        <v>5.147021352494522E-2</v>
      </c>
      <c r="W122" s="76">
        <f t="shared" si="130"/>
        <v>2.1777166250488374E-2</v>
      </c>
      <c r="X122" s="76">
        <f t="shared" si="131"/>
        <v>3.049143012451375E-2</v>
      </c>
      <c r="Y122" s="76">
        <f t="shared" si="132"/>
        <v>0.67181368801916119</v>
      </c>
      <c r="Z122" s="76">
        <f t="shared" si="133"/>
        <v>4.6917732592705839E-2</v>
      </c>
      <c r="AA122" s="76">
        <f t="shared" si="134"/>
        <v>2.3934498632557033E-2</v>
      </c>
      <c r="AB122" s="76">
        <f t="shared" si="135"/>
        <v>2.1488389474935875E-2</v>
      </c>
      <c r="AC122" s="76">
        <f t="shared" si="136"/>
        <v>8.581766294654232E-2</v>
      </c>
      <c r="AE122" s="76">
        <f t="shared" si="114"/>
        <v>39.737797379255532</v>
      </c>
      <c r="AF122" s="76">
        <f t="shared" si="115"/>
        <v>25.457840752638798</v>
      </c>
      <c r="AG122" s="76">
        <f t="shared" si="106"/>
        <v>36.736438972699986</v>
      </c>
      <c r="AH122" s="76">
        <f t="shared" si="116"/>
        <v>76.907249811747946</v>
      </c>
      <c r="AI122" s="76">
        <f t="shared" si="117"/>
        <v>121.82332581356366</v>
      </c>
      <c r="AJ122" s="76">
        <f t="shared" si="118"/>
        <v>56.198641289562026</v>
      </c>
      <c r="AK122" s="76">
        <f t="shared" si="108"/>
        <v>57.895671203916329</v>
      </c>
      <c r="AL122" s="76">
        <f t="shared" si="119"/>
        <v>37.203233148243989</v>
      </c>
      <c r="AM122" s="76">
        <f t="shared" si="137"/>
        <v>66.593861475310646</v>
      </c>
      <c r="AN122" s="76"/>
      <c r="AO122" s="76">
        <f t="shared" si="120"/>
        <v>8.0272189000500774E-2</v>
      </c>
      <c r="AP122" s="76">
        <f t="shared" si="121"/>
        <v>1.2018467982483976E-2</v>
      </c>
      <c r="AQ122" s="76">
        <f t="shared" si="107"/>
        <v>6.8097312227770102E-2</v>
      </c>
      <c r="AR122" s="76">
        <f t="shared" si="122"/>
        <v>3.9643101658605531E-2</v>
      </c>
      <c r="AS122" s="76">
        <f t="shared" si="123"/>
        <v>3.1207291091296456</v>
      </c>
      <c r="AT122" s="76">
        <f t="shared" si="124"/>
        <v>5.3847503557990367E-2</v>
      </c>
      <c r="AU122" s="76">
        <f t="shared" si="109"/>
        <v>1.7110727904209068E-2</v>
      </c>
      <c r="AV122" s="76">
        <f t="shared" si="125"/>
        <v>2.8294712355730518E-2</v>
      </c>
      <c r="AW122" s="96">
        <f t="shared" si="138"/>
        <v>1.1577649544639952E-2</v>
      </c>
      <c r="AY122" s="97">
        <v>2725</v>
      </c>
      <c r="AZ122" s="97">
        <v>3030</v>
      </c>
      <c r="BA122" s="97">
        <v>1282</v>
      </c>
      <c r="BB122" s="97">
        <v>1795</v>
      </c>
      <c r="BC122" s="97">
        <v>39549</v>
      </c>
      <c r="BD122" s="97">
        <v>2762</v>
      </c>
      <c r="BE122" s="97">
        <v>1409</v>
      </c>
      <c r="BF122" s="97">
        <v>1265</v>
      </c>
      <c r="BG122" s="97">
        <v>5052</v>
      </c>
      <c r="BI122" s="99">
        <v>33947</v>
      </c>
      <c r="BJ122" s="99">
        <v>252112</v>
      </c>
      <c r="BK122" s="99">
        <v>18826</v>
      </c>
      <c r="BL122" s="99">
        <v>45279</v>
      </c>
      <c r="BM122" s="99">
        <v>12673</v>
      </c>
      <c r="BN122" s="99">
        <v>51293</v>
      </c>
      <c r="BO122" s="99">
        <v>82346</v>
      </c>
      <c r="BP122" s="99">
        <v>44708</v>
      </c>
      <c r="BQ122" s="101">
        <v>436358</v>
      </c>
    </row>
    <row r="123" spans="1:69">
      <c r="A123" s="4">
        <v>1923</v>
      </c>
      <c r="B123" s="51">
        <f t="shared" ref="B123:B131" si="140">(GEOMEAN(P123,R123)/GEOMEAN(P$121,R$121))*B$121</f>
        <v>70.185263526903668</v>
      </c>
      <c r="P123" s="51">
        <f t="shared" si="126"/>
        <v>86.593472323185267</v>
      </c>
      <c r="Q123" s="51">
        <f t="shared" si="127"/>
        <v>86.593472323185267</v>
      </c>
      <c r="R123" s="51">
        <f t="shared" si="139"/>
        <v>97.851358557365387</v>
      </c>
      <c r="U123" s="76">
        <f t="shared" si="128"/>
        <v>3.8718249316139118E-2</v>
      </c>
      <c r="V123" s="76">
        <f t="shared" si="129"/>
        <v>4.6127393513091051E-2</v>
      </c>
      <c r="W123" s="76">
        <f t="shared" si="130"/>
        <v>2.6385306760453302E-2</v>
      </c>
      <c r="X123" s="76">
        <f t="shared" si="131"/>
        <v>3.0277452129738178E-2</v>
      </c>
      <c r="Y123" s="76">
        <f t="shared" si="132"/>
        <v>0.69061352090660411</v>
      </c>
      <c r="Z123" s="76">
        <f t="shared" si="133"/>
        <v>5.2676826885502147E-2</v>
      </c>
      <c r="AA123" s="76">
        <f t="shared" si="134"/>
        <v>1.7913247362250879E-2</v>
      </c>
      <c r="AB123" s="76">
        <f t="shared" si="135"/>
        <v>1.8944900351699882E-2</v>
      </c>
      <c r="AC123" s="76">
        <f t="shared" si="136"/>
        <v>7.8343102774521292E-2</v>
      </c>
      <c r="AE123" s="76">
        <f t="shared" si="114"/>
        <v>63.965025664305323</v>
      </c>
      <c r="AF123" s="76">
        <f t="shared" si="115"/>
        <v>40.808795378448117</v>
      </c>
      <c r="AG123" s="76">
        <f t="shared" ref="AG123:AG139" si="141">(AQ123/AQ$118)*100</f>
        <v>45.849902444802773</v>
      </c>
      <c r="AH123" s="76">
        <f t="shared" si="116"/>
        <v>57.52058118435567</v>
      </c>
      <c r="AI123" s="76">
        <f t="shared" si="117"/>
        <v>119.22608691339818</v>
      </c>
      <c r="AJ123" s="76">
        <f t="shared" si="118"/>
        <v>56.718065278628494</v>
      </c>
      <c r="AK123" s="76">
        <f t="shared" si="108"/>
        <v>44.240519196094638</v>
      </c>
      <c r="AL123" s="76">
        <f t="shared" si="119"/>
        <v>43.617123592457204</v>
      </c>
      <c r="AM123" s="76">
        <f t="shared" si="137"/>
        <v>57.966567462884136</v>
      </c>
      <c r="AN123" s="76"/>
      <c r="AO123" s="76">
        <f t="shared" si="120"/>
        <v>0.12921231090245175</v>
      </c>
      <c r="AP123" s="76">
        <f t="shared" si="121"/>
        <v>1.9265545944181492E-2</v>
      </c>
      <c r="AQ123" s="76">
        <f t="shared" ref="AQ123:AQ139" si="142">BA123/BK123</f>
        <v>8.4990685262574889E-2</v>
      </c>
      <c r="AR123" s="76">
        <f t="shared" si="122"/>
        <v>2.9649925760382067E-2</v>
      </c>
      <c r="AS123" s="76">
        <f t="shared" si="123"/>
        <v>3.0541960459007327</v>
      </c>
      <c r="AT123" s="76">
        <f t="shared" si="124"/>
        <v>5.4345196819919048E-2</v>
      </c>
      <c r="AU123" s="76">
        <f t="shared" si="109"/>
        <v>1.3075027382256297E-2</v>
      </c>
      <c r="AV123" s="76">
        <f t="shared" si="125"/>
        <v>3.3172761112327566E-2</v>
      </c>
      <c r="AW123" s="96">
        <f t="shared" si="138"/>
        <v>1.0077754743803447E-2</v>
      </c>
      <c r="AY123" s="97">
        <v>2477</v>
      </c>
      <c r="AZ123" s="97">
        <v>2951</v>
      </c>
      <c r="BA123" s="97">
        <v>1688</v>
      </c>
      <c r="BB123" s="97">
        <v>1937</v>
      </c>
      <c r="BC123" s="97">
        <v>44182</v>
      </c>
      <c r="BD123" s="97">
        <v>3370</v>
      </c>
      <c r="BE123" s="97">
        <v>1146</v>
      </c>
      <c r="BF123" s="97">
        <v>1212</v>
      </c>
      <c r="BG123" s="97">
        <v>5012</v>
      </c>
      <c r="BI123" s="99">
        <v>19170</v>
      </c>
      <c r="BJ123" s="99">
        <v>153175</v>
      </c>
      <c r="BK123" s="99">
        <v>19861</v>
      </c>
      <c r="BL123" s="99">
        <v>65329</v>
      </c>
      <c r="BM123" s="99">
        <v>14466</v>
      </c>
      <c r="BN123" s="99">
        <v>62011</v>
      </c>
      <c r="BO123" s="99">
        <v>87648</v>
      </c>
      <c r="BP123" s="99">
        <v>36536</v>
      </c>
      <c r="BQ123" s="101">
        <v>497333</v>
      </c>
    </row>
    <row r="124" spans="1:69">
      <c r="A124" s="4">
        <v>1924</v>
      </c>
      <c r="B124" s="51">
        <f t="shared" si="140"/>
        <v>98.243583958013829</v>
      </c>
      <c r="P124" s="51">
        <f t="shared" si="126"/>
        <v>118.83177111431979</v>
      </c>
      <c r="Q124" s="51">
        <f t="shared" si="127"/>
        <v>118.83177111431979</v>
      </c>
      <c r="R124" s="51">
        <f t="shared" si="139"/>
        <v>139.71272689955651</v>
      </c>
      <c r="U124" s="76">
        <f t="shared" si="128"/>
        <v>1.0423864096638156E-2</v>
      </c>
      <c r="V124" s="76">
        <f t="shared" si="129"/>
        <v>8.1008315265302232E-3</v>
      </c>
      <c r="W124" s="76">
        <f t="shared" si="130"/>
        <v>2.1181291844368729E-2</v>
      </c>
      <c r="X124" s="76">
        <f t="shared" si="131"/>
        <v>2.6256224535989137E-2</v>
      </c>
      <c r="Y124" s="76">
        <f t="shared" si="132"/>
        <v>0.78324319172762147</v>
      </c>
      <c r="Z124" s="76">
        <f t="shared" si="133"/>
        <v>3.7239999046960993E-2</v>
      </c>
      <c r="AA124" s="76">
        <f t="shared" si="134"/>
        <v>2.3528150389554692E-2</v>
      </c>
      <c r="AB124" s="76">
        <f t="shared" si="135"/>
        <v>2.0001906078006244E-2</v>
      </c>
      <c r="AC124" s="76">
        <f t="shared" si="136"/>
        <v>7.0024540754330372E-2</v>
      </c>
      <c r="AE124" s="76">
        <f t="shared" si="114"/>
        <v>67.010890616733434</v>
      </c>
      <c r="AF124" s="76">
        <f t="shared" si="115"/>
        <v>41.791742917484711</v>
      </c>
      <c r="AG124" s="76">
        <f t="shared" si="141"/>
        <v>67.843909222966261</v>
      </c>
      <c r="AH124" s="76">
        <f t="shared" si="116"/>
        <v>62.080604780894568</v>
      </c>
      <c r="AI124" s="76">
        <f t="shared" si="117"/>
        <v>180.41287045476901</v>
      </c>
      <c r="AJ124" s="76">
        <f t="shared" si="118"/>
        <v>56.937001751281535</v>
      </c>
      <c r="AK124" s="76">
        <f t="shared" si="108"/>
        <v>84.858264520747099</v>
      </c>
      <c r="AL124" s="76">
        <f t="shared" si="119"/>
        <v>74.617353892316103</v>
      </c>
      <c r="AM124" s="76">
        <f t="shared" si="137"/>
        <v>64.008005576161224</v>
      </c>
      <c r="AN124" s="76"/>
      <c r="AO124" s="76">
        <f t="shared" si="120"/>
        <v>0.13536509900990099</v>
      </c>
      <c r="AP124" s="76">
        <f t="shared" si="121"/>
        <v>1.9729588580049903E-2</v>
      </c>
      <c r="AQ124" s="76">
        <f t="shared" si="142"/>
        <v>0.12576036214457489</v>
      </c>
      <c r="AR124" s="76">
        <f t="shared" si="122"/>
        <v>3.2000464616546154E-2</v>
      </c>
      <c r="AS124" s="76">
        <f t="shared" si="123"/>
        <v>4.6216083227892595</v>
      </c>
      <c r="AT124" s="76">
        <f t="shared" si="124"/>
        <v>5.4554973821989532E-2</v>
      </c>
      <c r="AU124" s="76">
        <f t="shared" si="109"/>
        <v>2.507936507936508E-2</v>
      </c>
      <c r="AV124" s="76">
        <f t="shared" si="125"/>
        <v>5.6749814101264111E-2</v>
      </c>
      <c r="AW124" s="96">
        <f t="shared" si="138"/>
        <v>1.1128086586282428E-2</v>
      </c>
      <c r="AY124" s="97">
        <v>875</v>
      </c>
      <c r="AZ124" s="97">
        <v>680</v>
      </c>
      <c r="BA124" s="97">
        <v>1778</v>
      </c>
      <c r="BB124" s="97">
        <v>2204</v>
      </c>
      <c r="BC124" s="97">
        <v>65747</v>
      </c>
      <c r="BD124" s="97">
        <v>3126</v>
      </c>
      <c r="BE124" s="97">
        <v>1975</v>
      </c>
      <c r="BF124" s="97">
        <v>1679</v>
      </c>
      <c r="BG124" s="97">
        <v>5878</v>
      </c>
      <c r="BI124" s="99">
        <v>6464</v>
      </c>
      <c r="BJ124" s="99">
        <v>34466</v>
      </c>
      <c r="BK124" s="99">
        <v>14138</v>
      </c>
      <c r="BL124" s="99">
        <v>68874</v>
      </c>
      <c r="BM124" s="99">
        <v>14226</v>
      </c>
      <c r="BN124" s="99">
        <v>57300</v>
      </c>
      <c r="BO124" s="99">
        <v>78750</v>
      </c>
      <c r="BP124" s="99">
        <v>29586</v>
      </c>
      <c r="BQ124" s="101">
        <v>528213</v>
      </c>
    </row>
    <row r="125" spans="1:69">
      <c r="A125" s="4">
        <v>1925</v>
      </c>
      <c r="B125" s="51">
        <f t="shared" si="140"/>
        <v>117.74671976627278</v>
      </c>
      <c r="P125" s="51">
        <f t="shared" si="126"/>
        <v>142.13281753443681</v>
      </c>
      <c r="Q125" s="51">
        <f t="shared" si="127"/>
        <v>142.13281753443681</v>
      </c>
      <c r="R125" s="51">
        <f t="shared" si="139"/>
        <v>167.78897226708139</v>
      </c>
      <c r="U125" s="76">
        <f t="shared" si="128"/>
        <v>3.2599587945940083E-2</v>
      </c>
      <c r="V125" s="76">
        <f t="shared" si="129"/>
        <v>5.4217639462555327E-4</v>
      </c>
      <c r="W125" s="76">
        <f t="shared" si="130"/>
        <v>4.9860512800291787E-2</v>
      </c>
      <c r="X125" s="76">
        <f t="shared" si="131"/>
        <v>2.5866742899953669E-2</v>
      </c>
      <c r="Y125" s="76">
        <f t="shared" si="132"/>
        <v>0.72978914267125383</v>
      </c>
      <c r="Z125" s="76">
        <f t="shared" si="133"/>
        <v>3.7370740218644956E-2</v>
      </c>
      <c r="AA125" s="76">
        <f t="shared" si="134"/>
        <v>2.8232603531046993E-2</v>
      </c>
      <c r="AB125" s="76">
        <f t="shared" si="135"/>
        <v>2.3155860926825901E-2</v>
      </c>
      <c r="AC125" s="76">
        <f t="shared" si="136"/>
        <v>7.2582632611417244E-2</v>
      </c>
      <c r="AE125" s="76">
        <f t="shared" si="114"/>
        <v>53.438590545913037</v>
      </c>
      <c r="AF125" s="76">
        <f t="shared" si="115"/>
        <v>36.612970766938822</v>
      </c>
      <c r="AG125" s="76">
        <f t="shared" si="141"/>
        <v>216.1639799540109</v>
      </c>
      <c r="AH125" s="76">
        <f t="shared" si="116"/>
        <v>78.891232699784325</v>
      </c>
      <c r="AI125" s="76">
        <f t="shared" si="117"/>
        <v>214.35792239984082</v>
      </c>
      <c r="AJ125" s="76">
        <f t="shared" si="118"/>
        <v>66.583521650553052</v>
      </c>
      <c r="AK125" s="76">
        <f t="shared" si="108"/>
        <v>111.70075473713213</v>
      </c>
      <c r="AL125" s="76">
        <f t="shared" si="119"/>
        <v>88.189620498123617</v>
      </c>
      <c r="AM125" s="76">
        <f t="shared" si="137"/>
        <v>81.264809958727682</v>
      </c>
      <c r="AN125" s="76"/>
      <c r="AO125" s="76">
        <f t="shared" si="120"/>
        <v>0.10794842500408031</v>
      </c>
      <c r="AP125" s="76">
        <f t="shared" si="121"/>
        <v>1.7284726587052168E-2</v>
      </c>
      <c r="AQ125" s="76">
        <f t="shared" si="142"/>
        <v>0.40069714014101243</v>
      </c>
      <c r="AR125" s="76">
        <f t="shared" si="122"/>
        <v>4.0665778135945199E-2</v>
      </c>
      <c r="AS125" s="76">
        <f t="shared" si="123"/>
        <v>5.4911734164070616</v>
      </c>
      <c r="AT125" s="76">
        <f t="shared" si="124"/>
        <v>6.3797919962303523E-2</v>
      </c>
      <c r="AU125" s="76">
        <f t="shared" si="109"/>
        <v>3.3012506483776148E-2</v>
      </c>
      <c r="AV125" s="76">
        <f t="shared" si="125"/>
        <v>6.7072126092170642E-2</v>
      </c>
      <c r="AW125" s="96">
        <f t="shared" si="138"/>
        <v>1.412826151195232E-2</v>
      </c>
      <c r="AY125" s="97">
        <v>3307</v>
      </c>
      <c r="AZ125" s="97">
        <v>55</v>
      </c>
      <c r="BA125" s="97">
        <v>5058</v>
      </c>
      <c r="BB125" s="97">
        <v>2624</v>
      </c>
      <c r="BC125" s="97">
        <v>74032</v>
      </c>
      <c r="BD125" s="97">
        <v>3791</v>
      </c>
      <c r="BE125" s="97">
        <v>2864</v>
      </c>
      <c r="BF125" s="97">
        <v>2349</v>
      </c>
      <c r="BG125" s="97">
        <v>7363</v>
      </c>
      <c r="BI125" s="99">
        <v>30635</v>
      </c>
      <c r="BJ125" s="99">
        <v>3182</v>
      </c>
      <c r="BK125" s="99">
        <v>12623</v>
      </c>
      <c r="BL125" s="99">
        <v>64526</v>
      </c>
      <c r="BM125" s="99">
        <v>13482</v>
      </c>
      <c r="BN125" s="99">
        <v>59422</v>
      </c>
      <c r="BO125" s="99">
        <v>86755</v>
      </c>
      <c r="BP125" s="99">
        <v>35022</v>
      </c>
      <c r="BQ125" s="101">
        <v>521154</v>
      </c>
    </row>
    <row r="126" spans="1:69">
      <c r="A126" s="4">
        <v>1926</v>
      </c>
      <c r="B126" s="51">
        <f t="shared" si="140"/>
        <v>111.70177520822143</v>
      </c>
      <c r="P126" s="51">
        <f t="shared" si="126"/>
        <v>134.42674589866729</v>
      </c>
      <c r="Q126" s="51">
        <f t="shared" si="127"/>
        <v>134.42674589866729</v>
      </c>
      <c r="R126" s="51">
        <f t="shared" si="139"/>
        <v>159.65944282350958</v>
      </c>
      <c r="U126" s="76">
        <f t="shared" si="128"/>
        <v>1.2613613303570475E-2</v>
      </c>
      <c r="V126" s="76">
        <f t="shared" si="129"/>
        <v>2.413782054705273E-3</v>
      </c>
      <c r="W126" s="76">
        <f t="shared" si="130"/>
        <v>3.5875636821924829E-2</v>
      </c>
      <c r="X126" s="76">
        <f t="shared" si="131"/>
        <v>3.1496651678432963E-2</v>
      </c>
      <c r="Y126" s="76">
        <f t="shared" si="132"/>
        <v>0.74316718110841729</v>
      </c>
      <c r="Z126" s="76">
        <f t="shared" si="133"/>
        <v>3.7178651913402902E-2</v>
      </c>
      <c r="AA126" s="76">
        <f t="shared" si="134"/>
        <v>3.5491140565423109E-2</v>
      </c>
      <c r="AB126" s="76">
        <f t="shared" si="135"/>
        <v>2.0923004624635529E-2</v>
      </c>
      <c r="AC126" s="76">
        <f t="shared" si="136"/>
        <v>8.0840337929487666E-2</v>
      </c>
      <c r="AE126" s="76">
        <f t="shared" si="114"/>
        <v>35.035661073642828</v>
      </c>
      <c r="AF126" s="76">
        <f t="shared" si="115"/>
        <v>27.882768513621535</v>
      </c>
      <c r="AG126" s="76">
        <f t="shared" si="141"/>
        <v>291.143772400339</v>
      </c>
      <c r="AH126" s="76">
        <f t="shared" si="116"/>
        <v>90.365387286970318</v>
      </c>
      <c r="AI126" s="76">
        <f t="shared" si="117"/>
        <v>197.531792723395</v>
      </c>
      <c r="AJ126" s="76">
        <f t="shared" si="118"/>
        <v>81.984756775742667</v>
      </c>
      <c r="AK126" s="76">
        <f t="shared" si="108"/>
        <v>121.34718738181287</v>
      </c>
      <c r="AL126" s="76">
        <f t="shared" si="119"/>
        <v>92.328709784177803</v>
      </c>
      <c r="AM126" s="76">
        <f t="shared" si="137"/>
        <v>80.228023753081629</v>
      </c>
      <c r="AN126" s="76"/>
      <c r="AO126" s="76">
        <f t="shared" si="120"/>
        <v>7.0773656139509797E-2</v>
      </c>
      <c r="AP126" s="76">
        <f t="shared" si="121"/>
        <v>1.3163259362805055E-2</v>
      </c>
      <c r="AQ126" s="76">
        <f t="shared" si="142"/>
        <v>0.5396850899742931</v>
      </c>
      <c r="AR126" s="76">
        <f t="shared" si="122"/>
        <v>4.6580319064918656E-2</v>
      </c>
      <c r="AS126" s="76">
        <f t="shared" si="123"/>
        <v>5.0601410806486804</v>
      </c>
      <c r="AT126" s="76">
        <f t="shared" si="124"/>
        <v>7.8554825897592134E-2</v>
      </c>
      <c r="AU126" s="76">
        <f t="shared" si="109"/>
        <v>3.5863453381827601E-2</v>
      </c>
      <c r="AV126" s="76">
        <f t="shared" si="125"/>
        <v>7.0220087461466768E-2</v>
      </c>
      <c r="AW126" s="96">
        <f t="shared" si="138"/>
        <v>1.3948011454728392E-2</v>
      </c>
      <c r="AY126" s="97">
        <v>1181</v>
      </c>
      <c r="AZ126" s="97">
        <v>226</v>
      </c>
      <c r="BA126" s="97">
        <v>3359</v>
      </c>
      <c r="BB126" s="97">
        <v>2949</v>
      </c>
      <c r="BC126" s="97">
        <v>69582</v>
      </c>
      <c r="BD126" s="97">
        <v>3481</v>
      </c>
      <c r="BE126" s="97">
        <v>3323</v>
      </c>
      <c r="BF126" s="97">
        <v>1959</v>
      </c>
      <c r="BG126" s="97">
        <v>7569</v>
      </c>
      <c r="BI126" s="99">
        <v>16687</v>
      </c>
      <c r="BJ126" s="99">
        <v>17169</v>
      </c>
      <c r="BK126" s="99">
        <v>6224</v>
      </c>
      <c r="BL126" s="99">
        <v>63310</v>
      </c>
      <c r="BM126" s="99">
        <v>13751</v>
      </c>
      <c r="BN126" s="99">
        <v>44313</v>
      </c>
      <c r="BO126" s="99">
        <v>92657</v>
      </c>
      <c r="BP126" s="99">
        <v>27898</v>
      </c>
      <c r="BQ126" s="101">
        <v>542658</v>
      </c>
    </row>
    <row r="127" spans="1:69">
      <c r="A127" s="4">
        <v>1927</v>
      </c>
      <c r="B127" s="51">
        <f t="shared" si="140"/>
        <v>94.407760840433269</v>
      </c>
      <c r="P127" s="51">
        <f t="shared" si="126"/>
        <v>114.21508580861686</v>
      </c>
      <c r="Q127" s="51">
        <f t="shared" si="127"/>
        <v>114.21508580861686</v>
      </c>
      <c r="R127" s="51">
        <f t="shared" si="139"/>
        <v>134.23076605340125</v>
      </c>
      <c r="U127" s="76">
        <f t="shared" si="128"/>
        <v>1.1662106703146375E-2</v>
      </c>
      <c r="V127" s="76">
        <f t="shared" si="129"/>
        <v>7.2503419972640218E-3</v>
      </c>
      <c r="W127" s="76">
        <f t="shared" si="130"/>
        <v>3.1908344733242132E-2</v>
      </c>
      <c r="X127" s="76">
        <f t="shared" si="131"/>
        <v>5.1983584131326949E-2</v>
      </c>
      <c r="Y127" s="76">
        <f t="shared" si="132"/>
        <v>0.71464888280893757</v>
      </c>
      <c r="Z127" s="76">
        <f t="shared" si="133"/>
        <v>0.05</v>
      </c>
      <c r="AA127" s="76">
        <f t="shared" si="134"/>
        <v>3.0517555859553125E-2</v>
      </c>
      <c r="AB127" s="76">
        <f t="shared" si="135"/>
        <v>1.9585043319653443E-2</v>
      </c>
      <c r="AC127" s="76">
        <f t="shared" si="136"/>
        <v>8.2444140446876424E-2</v>
      </c>
      <c r="AE127" s="76">
        <f t="shared" si="114"/>
        <v>42.495934027148337</v>
      </c>
      <c r="AF127" s="76">
        <f t="shared" si="115"/>
        <v>27.799513691622309</v>
      </c>
      <c r="AG127" s="76">
        <f t="shared" si="141"/>
        <v>159.7350881089545</v>
      </c>
      <c r="AH127" s="76">
        <f t="shared" si="116"/>
        <v>117.10360640492033</v>
      </c>
      <c r="AI127" s="76">
        <f t="shared" si="117"/>
        <v>161.90399695154406</v>
      </c>
      <c r="AJ127" s="76">
        <f t="shared" si="118"/>
        <v>71.485545870176324</v>
      </c>
      <c r="AK127" s="76">
        <f t="shared" ref="AK127:AK139" si="143">(AU127/AU$118)*100</f>
        <v>99.436479920484601</v>
      </c>
      <c r="AL127" s="76">
        <f t="shared" si="119"/>
        <v>70.845478645466315</v>
      </c>
      <c r="AM127" s="76">
        <f t="shared" si="137"/>
        <v>69.849526696424789</v>
      </c>
      <c r="AN127" s="76"/>
      <c r="AO127" s="76">
        <f t="shared" si="120"/>
        <v>8.5843752622304273E-2</v>
      </c>
      <c r="AP127" s="76">
        <f t="shared" si="121"/>
        <v>1.3123955345535586E-2</v>
      </c>
      <c r="AQ127" s="76">
        <f t="shared" si="142"/>
        <v>0.29609647730879085</v>
      </c>
      <c r="AR127" s="76">
        <f t="shared" si="122"/>
        <v>6.0362972082125411E-2</v>
      </c>
      <c r="AS127" s="76">
        <f t="shared" si="123"/>
        <v>4.1474694012570295</v>
      </c>
      <c r="AT127" s="76">
        <f t="shared" si="124"/>
        <v>6.8494862104506976E-2</v>
      </c>
      <c r="AU127" s="76">
        <f t="shared" ref="AU127:AU139" si="144">BE127/BO127</f>
        <v>2.9387871602336101E-2</v>
      </c>
      <c r="AV127" s="76">
        <f t="shared" si="125"/>
        <v>5.3881135330092519E-2</v>
      </c>
      <c r="AW127" s="96">
        <f t="shared" si="138"/>
        <v>1.2143661938720851E-2</v>
      </c>
      <c r="AY127" s="97">
        <v>1023</v>
      </c>
      <c r="AZ127" s="97">
        <v>636</v>
      </c>
      <c r="BA127" s="97">
        <v>2799</v>
      </c>
      <c r="BB127" s="97">
        <v>4560</v>
      </c>
      <c r="BC127" s="97">
        <v>62689</v>
      </c>
      <c r="BD127" s="97">
        <v>4386</v>
      </c>
      <c r="BE127" s="97">
        <v>2677</v>
      </c>
      <c r="BF127" s="97">
        <v>1718</v>
      </c>
      <c r="BG127" s="97">
        <v>7232</v>
      </c>
      <c r="BI127" s="99">
        <v>11917</v>
      </c>
      <c r="BJ127" s="99">
        <v>48461</v>
      </c>
      <c r="BK127" s="99">
        <v>9453</v>
      </c>
      <c r="BL127" s="99">
        <v>75543</v>
      </c>
      <c r="BM127" s="99">
        <v>15115</v>
      </c>
      <c r="BN127" s="99">
        <v>64034</v>
      </c>
      <c r="BO127" s="99">
        <v>91092</v>
      </c>
      <c r="BP127" s="99">
        <v>31885</v>
      </c>
      <c r="BQ127" s="101">
        <v>595537</v>
      </c>
    </row>
    <row r="128" spans="1:69">
      <c r="A128" s="4">
        <v>1928</v>
      </c>
      <c r="B128" s="51">
        <f t="shared" si="140"/>
        <v>107.98741595584251</v>
      </c>
      <c r="P128" s="51">
        <f t="shared" si="126"/>
        <v>129.2413227199188</v>
      </c>
      <c r="Q128" s="51">
        <f t="shared" si="127"/>
        <v>129.2413227199188</v>
      </c>
      <c r="R128" s="51">
        <f t="shared" si="139"/>
        <v>155.20476429924463</v>
      </c>
      <c r="U128" s="76">
        <f t="shared" si="128"/>
        <v>9.3590173555797764E-3</v>
      </c>
      <c r="V128" s="76">
        <f t="shared" si="129"/>
        <v>5.9843212878343257E-3</v>
      </c>
      <c r="W128" s="76">
        <f t="shared" si="130"/>
        <v>1.5175651882283894E-2</v>
      </c>
      <c r="X128" s="76">
        <f t="shared" si="131"/>
        <v>3.8316424918252705E-2</v>
      </c>
      <c r="Y128" s="76">
        <f t="shared" si="132"/>
        <v>0.73049593359604259</v>
      </c>
      <c r="Z128" s="76">
        <f t="shared" si="133"/>
        <v>7.0931499958078306E-2</v>
      </c>
      <c r="AA128" s="76">
        <f t="shared" si="134"/>
        <v>2.9565272071769934E-2</v>
      </c>
      <c r="AB128" s="76">
        <f t="shared" si="135"/>
        <v>1.7911042173220423E-2</v>
      </c>
      <c r="AC128" s="76">
        <f t="shared" si="136"/>
        <v>8.2260836756938044E-2</v>
      </c>
      <c r="AE128" s="76">
        <f t="shared" si="114"/>
        <v>44.162745651295268</v>
      </c>
      <c r="AF128" s="76">
        <f t="shared" si="115"/>
        <v>40.267253461220868</v>
      </c>
      <c r="AG128" s="76">
        <f t="shared" si="141"/>
        <v>70.058491128972548</v>
      </c>
      <c r="AH128" s="76">
        <f t="shared" si="116"/>
        <v>97.970938832444105</v>
      </c>
      <c r="AI128" s="76">
        <f t="shared" si="117"/>
        <v>196.01650189174475</v>
      </c>
      <c r="AJ128" s="76">
        <f t="shared" si="118"/>
        <v>97.552867167009722</v>
      </c>
      <c r="AK128" s="76">
        <f t="shared" si="143"/>
        <v>108.24568665230738</v>
      </c>
      <c r="AL128" s="76">
        <f t="shared" si="119"/>
        <v>75.894165721533497</v>
      </c>
      <c r="AM128" s="76">
        <f t="shared" si="137"/>
        <v>64.921578415482031</v>
      </c>
      <c r="AN128" s="76"/>
      <c r="AO128" s="76">
        <f t="shared" si="120"/>
        <v>8.9210789210789204E-2</v>
      </c>
      <c r="AP128" s="76">
        <f t="shared" si="121"/>
        <v>1.9009887805040451E-2</v>
      </c>
      <c r="AQ128" s="76">
        <f t="shared" si="142"/>
        <v>0.12986547085201794</v>
      </c>
      <c r="AR128" s="76">
        <f t="shared" si="122"/>
        <v>5.0500725188203602E-2</v>
      </c>
      <c r="AS128" s="76">
        <f t="shared" si="123"/>
        <v>5.0213241120956704</v>
      </c>
      <c r="AT128" s="76">
        <f t="shared" si="124"/>
        <v>9.3471625671551095E-2</v>
      </c>
      <c r="AU128" s="76">
        <f t="shared" si="144"/>
        <v>3.1991381265593102E-2</v>
      </c>
      <c r="AV128" s="76">
        <f t="shared" si="125"/>
        <v>5.7720886246960278E-2</v>
      </c>
      <c r="AW128" s="96">
        <f t="shared" si="138"/>
        <v>1.1286915432257657E-2</v>
      </c>
      <c r="AY128" s="97">
        <v>893</v>
      </c>
      <c r="AZ128" s="97">
        <v>571</v>
      </c>
      <c r="BA128" s="97">
        <v>1448</v>
      </c>
      <c r="BB128" s="97">
        <v>3656</v>
      </c>
      <c r="BC128" s="97">
        <v>69701</v>
      </c>
      <c r="BD128" s="97">
        <v>6768</v>
      </c>
      <c r="BE128" s="97">
        <v>2821</v>
      </c>
      <c r="BF128" s="97">
        <v>1709</v>
      </c>
      <c r="BG128" s="97">
        <v>7849</v>
      </c>
      <c r="BI128" s="99">
        <v>10010</v>
      </c>
      <c r="BJ128" s="99">
        <v>30037</v>
      </c>
      <c r="BK128" s="99">
        <v>11150</v>
      </c>
      <c r="BL128" s="99">
        <v>72395</v>
      </c>
      <c r="BM128" s="99">
        <v>13881</v>
      </c>
      <c r="BN128" s="99">
        <v>72407</v>
      </c>
      <c r="BO128" s="99">
        <v>88180</v>
      </c>
      <c r="BP128" s="99">
        <v>29608</v>
      </c>
      <c r="BQ128" s="101">
        <v>695407</v>
      </c>
    </row>
    <row r="129" spans="1:69">
      <c r="A129" s="4">
        <v>1929</v>
      </c>
      <c r="B129" s="51">
        <f t="shared" si="140"/>
        <v>98.757234057425734</v>
      </c>
      <c r="P129" s="51">
        <f t="shared" si="126"/>
        <v>117.52492090835015</v>
      </c>
      <c r="Q129" s="51">
        <f t="shared" si="127"/>
        <v>117.52492090835015</v>
      </c>
      <c r="R129" s="51">
        <f t="shared" si="139"/>
        <v>142.74733631768098</v>
      </c>
      <c r="U129" s="76">
        <f t="shared" si="128"/>
        <v>4.1378631431571576E-2</v>
      </c>
      <c r="V129" s="76">
        <f t="shared" si="129"/>
        <v>2.4282464123206162E-3</v>
      </c>
      <c r="W129" s="76">
        <f t="shared" si="130"/>
        <v>1.6418008400420021E-2</v>
      </c>
      <c r="X129" s="76">
        <f t="shared" si="131"/>
        <v>2.8187346867343366E-2</v>
      </c>
      <c r="Y129" s="76">
        <f t="shared" si="132"/>
        <v>0.73620712285614276</v>
      </c>
      <c r="Z129" s="76">
        <f t="shared" si="133"/>
        <v>4.5371018550927546E-2</v>
      </c>
      <c r="AA129" s="76">
        <f t="shared" si="134"/>
        <v>2.858111655582779E-2</v>
      </c>
      <c r="AB129" s="76">
        <f t="shared" si="135"/>
        <v>1.7807140357017852E-2</v>
      </c>
      <c r="AC129" s="76">
        <f t="shared" si="136"/>
        <v>8.3621368568428417E-2</v>
      </c>
      <c r="AE129" s="76">
        <f t="shared" si="114"/>
        <v>38.432305641786598</v>
      </c>
      <c r="AF129" s="76">
        <f t="shared" si="115"/>
        <v>31.604700953324887</v>
      </c>
      <c r="AG129" s="76">
        <f t="shared" si="141"/>
        <v>65.460313018271449</v>
      </c>
      <c r="AH129" s="76">
        <f t="shared" si="116"/>
        <v>76.258520955105283</v>
      </c>
      <c r="AI129" s="76">
        <f t="shared" si="117"/>
        <v>183.98227903838068</v>
      </c>
      <c r="AJ129" s="76">
        <f t="shared" si="118"/>
        <v>75.860193736453439</v>
      </c>
      <c r="AK129" s="76">
        <f t="shared" si="143"/>
        <v>102.83950741057338</v>
      </c>
      <c r="AL129" s="76">
        <f t="shared" si="119"/>
        <v>69.336998164530812</v>
      </c>
      <c r="AM129" s="76">
        <f t="shared" si="137"/>
        <v>58.930104077051084</v>
      </c>
      <c r="AN129" s="76"/>
      <c r="AO129" s="76">
        <f t="shared" si="120"/>
        <v>7.7635035297980631E-2</v>
      </c>
      <c r="AP129" s="76">
        <f t="shared" si="121"/>
        <v>1.492035755091068E-2</v>
      </c>
      <c r="AQ129" s="76">
        <f t="shared" si="142"/>
        <v>0.12134195634599838</v>
      </c>
      <c r="AR129" s="76">
        <f t="shared" si="122"/>
        <v>3.9308703743250253E-2</v>
      </c>
      <c r="AS129" s="76">
        <f t="shared" si="123"/>
        <v>4.7130453049506338</v>
      </c>
      <c r="AT129" s="76">
        <f t="shared" si="124"/>
        <v>7.2686491317223614E-2</v>
      </c>
      <c r="AU129" s="76">
        <f t="shared" si="144"/>
        <v>3.0393616526310892E-2</v>
      </c>
      <c r="AV129" s="76">
        <f t="shared" si="125"/>
        <v>5.2733868877947655E-2</v>
      </c>
      <c r="AW129" s="96">
        <f t="shared" si="138"/>
        <v>1.0245270022165699E-2</v>
      </c>
      <c r="AY129" s="97">
        <v>3783</v>
      </c>
      <c r="AZ129" s="97">
        <v>222</v>
      </c>
      <c r="BA129" s="97">
        <v>1501</v>
      </c>
      <c r="BB129" s="97">
        <v>2577</v>
      </c>
      <c r="BC129" s="97">
        <v>67307</v>
      </c>
      <c r="BD129" s="97">
        <v>4148</v>
      </c>
      <c r="BE129" s="97">
        <v>2613</v>
      </c>
      <c r="BF129" s="97">
        <v>1628</v>
      </c>
      <c r="BG129" s="97">
        <v>7645</v>
      </c>
      <c r="BI129" s="99">
        <v>48728</v>
      </c>
      <c r="BJ129" s="99">
        <v>14879</v>
      </c>
      <c r="BK129" s="99">
        <v>12370</v>
      </c>
      <c r="BL129" s="99">
        <v>65558</v>
      </c>
      <c r="BM129" s="99">
        <v>14281</v>
      </c>
      <c r="BN129" s="99">
        <v>57067</v>
      </c>
      <c r="BO129" s="99">
        <v>85972</v>
      </c>
      <c r="BP129" s="99">
        <v>30872</v>
      </c>
      <c r="BQ129" s="101">
        <v>746198</v>
      </c>
    </row>
    <row r="130" spans="1:69">
      <c r="A130" s="4">
        <v>1930</v>
      </c>
      <c r="B130" s="51">
        <f t="shared" si="140"/>
        <v>62.367837032869126</v>
      </c>
      <c r="P130" s="51">
        <f t="shared" si="126"/>
        <v>74.840145146885376</v>
      </c>
      <c r="Q130" s="51">
        <f t="shared" si="127"/>
        <v>74.840145146885376</v>
      </c>
      <c r="R130" s="51">
        <f t="shared" si="139"/>
        <v>89.401928863111465</v>
      </c>
      <c r="U130" s="76">
        <f t="shared" si="128"/>
        <v>3.2232070910556E-2</v>
      </c>
      <c r="V130" s="76">
        <f t="shared" si="129"/>
        <v>9.6864088100993822E-3</v>
      </c>
      <c r="W130" s="76">
        <f t="shared" si="130"/>
        <v>1.2825678216492076E-2</v>
      </c>
      <c r="X130" s="76">
        <f t="shared" si="131"/>
        <v>3.4246575342465752E-2</v>
      </c>
      <c r="Y130" s="76">
        <f t="shared" si="132"/>
        <v>0.6912939833467634</v>
      </c>
      <c r="Z130" s="76">
        <f t="shared" si="133"/>
        <v>5.378726833199033E-2</v>
      </c>
      <c r="AA130" s="76">
        <f t="shared" si="134"/>
        <v>3.5908541498791295E-2</v>
      </c>
      <c r="AB130" s="76">
        <f t="shared" si="135"/>
        <v>2.8135911899006178E-2</v>
      </c>
      <c r="AC130" s="76">
        <f t="shared" si="136"/>
        <v>0.10188356164383562</v>
      </c>
      <c r="AE130" s="76">
        <f t="shared" si="114"/>
        <v>31.249121595303397</v>
      </c>
      <c r="AF130" s="76">
        <f t="shared" si="115"/>
        <v>14.471468947552745</v>
      </c>
      <c r="AG130" s="76">
        <f t="shared" si="141"/>
        <v>31.11307295528945</v>
      </c>
      <c r="AH130" s="76">
        <f t="shared" si="116"/>
        <v>57.479537175466078</v>
      </c>
      <c r="AI130" s="76">
        <f t="shared" si="117"/>
        <v>105.14763323936387</v>
      </c>
      <c r="AJ130" s="76">
        <f t="shared" si="118"/>
        <v>59.615551620105634</v>
      </c>
      <c r="AK130" s="76">
        <f t="shared" si="143"/>
        <v>85.301569097655673</v>
      </c>
      <c r="AL130" s="76">
        <f t="shared" si="119"/>
        <v>58.300073801305707</v>
      </c>
      <c r="AM130" s="76">
        <f t="shared" si="137"/>
        <v>53.851165930612822</v>
      </c>
      <c r="AN130" s="76"/>
      <c r="AO130" s="76">
        <f t="shared" si="120"/>
        <v>6.3124671225670698E-2</v>
      </c>
      <c r="AP130" s="76">
        <f t="shared" si="121"/>
        <v>6.8318789443148585E-3</v>
      </c>
      <c r="AQ130" s="76">
        <f t="shared" si="142"/>
        <v>5.767343549482902E-2</v>
      </c>
      <c r="AR130" s="76">
        <f t="shared" si="122"/>
        <v>2.9628768953697787E-2</v>
      </c>
      <c r="AS130" s="76">
        <f t="shared" si="123"/>
        <v>2.6935504971219255</v>
      </c>
      <c r="AT130" s="76">
        <f t="shared" si="124"/>
        <v>5.7121463336364121E-2</v>
      </c>
      <c r="AU130" s="76">
        <f t="shared" si="144"/>
        <v>2.5210381161162577E-2</v>
      </c>
      <c r="AV130" s="76">
        <f t="shared" si="125"/>
        <v>4.433979734913622E-2</v>
      </c>
      <c r="AW130" s="96">
        <f t="shared" si="138"/>
        <v>9.3622732321362451E-3</v>
      </c>
      <c r="AY130" s="97">
        <v>1920</v>
      </c>
      <c r="AZ130" s="97">
        <v>577</v>
      </c>
      <c r="BA130" s="97">
        <v>764</v>
      </c>
      <c r="BB130" s="97">
        <v>2040</v>
      </c>
      <c r="BC130" s="97">
        <v>41179</v>
      </c>
      <c r="BD130" s="97">
        <v>3204</v>
      </c>
      <c r="BE130" s="97">
        <v>2139</v>
      </c>
      <c r="BF130" s="97">
        <v>1676</v>
      </c>
      <c r="BG130" s="97">
        <v>6069</v>
      </c>
      <c r="BI130" s="99">
        <v>30416</v>
      </c>
      <c r="BJ130" s="99">
        <v>84457</v>
      </c>
      <c r="BK130" s="99">
        <v>13247</v>
      </c>
      <c r="BL130" s="99">
        <v>68852</v>
      </c>
      <c r="BM130" s="99">
        <v>15288</v>
      </c>
      <c r="BN130" s="99">
        <v>56091</v>
      </c>
      <c r="BO130" s="99">
        <v>84846</v>
      </c>
      <c r="BP130" s="99">
        <v>37799</v>
      </c>
      <c r="BQ130" s="101">
        <v>648240</v>
      </c>
    </row>
    <row r="131" spans="1:69">
      <c r="A131" s="4">
        <v>1931</v>
      </c>
      <c r="B131" s="51">
        <f t="shared" si="140"/>
        <v>42.352913164383921</v>
      </c>
      <c r="P131" s="51">
        <f t="shared" si="126"/>
        <v>50.420858991165744</v>
      </c>
      <c r="Q131" s="51">
        <f t="shared" si="127"/>
        <v>50.420858991165744</v>
      </c>
      <c r="R131" s="51">
        <f t="shared" si="139"/>
        <v>61.195076232034722</v>
      </c>
      <c r="S131" s="51">
        <f t="shared" ref="S131:S139" si="145">(AF131^V$18)*(AH131^X$18)*(AI131^Y$18)*(AJ131^Z$18)*(AL131^AB$18)*(AG131^W$18)*(AK131^AA$18)*(AE131^U$18)*(AM131^AC$18)</f>
        <v>43.719680248738584</v>
      </c>
      <c r="U131" s="76">
        <f t="shared" si="128"/>
        <v>1.8119598122230511E-2</v>
      </c>
      <c r="V131" s="76">
        <f t="shared" si="129"/>
        <v>1.3600666871407888E-3</v>
      </c>
      <c r="W131" s="76">
        <f t="shared" si="130"/>
        <v>8.2262098012547708E-3</v>
      </c>
      <c r="X131" s="76">
        <f t="shared" si="131"/>
        <v>3.0623437020137763E-2</v>
      </c>
      <c r="Y131" s="76">
        <f t="shared" si="132"/>
        <v>0.74812442416531388</v>
      </c>
      <c r="Z131" s="76">
        <f t="shared" si="133"/>
        <v>5.1287676040889747E-2</v>
      </c>
      <c r="AA131" s="76">
        <f t="shared" si="134"/>
        <v>2.9570482165577151E-2</v>
      </c>
      <c r="AB131" s="76">
        <f t="shared" si="135"/>
        <v>2.0971350853332165E-2</v>
      </c>
      <c r="AC131" s="76">
        <f t="shared" si="136"/>
        <v>9.1716755144123197E-2</v>
      </c>
      <c r="AE131" s="76">
        <f t="shared" si="114"/>
        <v>19.67859505835494</v>
      </c>
      <c r="AF131" s="76">
        <f t="shared" si="115"/>
        <v>11.835802131455656</v>
      </c>
      <c r="AG131" s="76">
        <f t="shared" si="141"/>
        <v>13.676389303359088</v>
      </c>
      <c r="AH131" s="76">
        <f t="shared" si="116"/>
        <v>35.698918604517779</v>
      </c>
      <c r="AI131" s="76">
        <f t="shared" si="117"/>
        <v>74.579101941806925</v>
      </c>
      <c r="AJ131" s="76">
        <f t="shared" si="118"/>
        <v>43.320737163359993</v>
      </c>
      <c r="AK131" s="76">
        <f t="shared" si="143"/>
        <v>59.419984500101627</v>
      </c>
      <c r="AL131" s="76">
        <f t="shared" si="119"/>
        <v>32.858299710186081</v>
      </c>
      <c r="AM131" s="76">
        <f t="shared" si="137"/>
        <v>30.21616070069491</v>
      </c>
      <c r="AN131" s="76"/>
      <c r="AO131" s="76">
        <f t="shared" si="120"/>
        <v>3.9751672361518844E-2</v>
      </c>
      <c r="AP131" s="76">
        <f t="shared" si="121"/>
        <v>5.5875991348233595E-3</v>
      </c>
      <c r="AQ131" s="76">
        <f t="shared" si="142"/>
        <v>2.5351541373715522E-2</v>
      </c>
      <c r="AR131" s="76">
        <f t="shared" si="122"/>
        <v>1.840159234409396E-2</v>
      </c>
      <c r="AS131" s="76">
        <f t="shared" si="123"/>
        <v>1.910481205534704</v>
      </c>
      <c r="AT131" s="76">
        <f t="shared" si="124"/>
        <v>4.1508362035294538E-2</v>
      </c>
      <c r="AU131" s="76">
        <f t="shared" si="144"/>
        <v>1.7561229807191246E-2</v>
      </c>
      <c r="AV131" s="76">
        <f t="shared" si="125"/>
        <v>2.4990197359822247E-2</v>
      </c>
      <c r="AW131" s="96">
        <f t="shared" si="138"/>
        <v>5.2532187115604733E-3</v>
      </c>
      <c r="AY131" s="97">
        <v>826</v>
      </c>
      <c r="AZ131" s="97">
        <v>62</v>
      </c>
      <c r="BA131" s="97">
        <v>375</v>
      </c>
      <c r="BB131" s="97">
        <v>1396</v>
      </c>
      <c r="BC131" s="97">
        <v>34104</v>
      </c>
      <c r="BD131" s="97">
        <v>2338</v>
      </c>
      <c r="BE131" s="97">
        <v>1348</v>
      </c>
      <c r="BF131" s="97">
        <v>956</v>
      </c>
      <c r="BG131" s="97">
        <v>4181</v>
      </c>
      <c r="BI131" s="99">
        <v>20779</v>
      </c>
      <c r="BJ131" s="99">
        <v>11096</v>
      </c>
      <c r="BK131" s="99">
        <v>14792</v>
      </c>
      <c r="BL131" s="99">
        <v>75863</v>
      </c>
      <c r="BM131" s="99">
        <v>17851</v>
      </c>
      <c r="BN131" s="99">
        <v>56326</v>
      </c>
      <c r="BO131" s="99">
        <v>76760</v>
      </c>
      <c r="BP131" s="99">
        <v>38255</v>
      </c>
      <c r="BQ131" s="101">
        <v>795893</v>
      </c>
    </row>
    <row r="132" spans="1:69">
      <c r="A132" s="4">
        <v>1932</v>
      </c>
      <c r="B132" s="51">
        <f t="shared" ref="B132:B139" si="146">(GEOMEAN(R132:S132)/GEOMEAN(R$131:S$131))*B$131</f>
        <v>46.042583095728702</v>
      </c>
      <c r="R132" s="51">
        <f t="shared" si="139"/>
        <v>66.089952384894232</v>
      </c>
      <c r="S132" s="51">
        <f t="shared" si="145"/>
        <v>47.842162700940982</v>
      </c>
      <c r="U132" s="76">
        <f t="shared" si="128"/>
        <v>7.0978365794105956E-4</v>
      </c>
      <c r="V132" s="76">
        <f t="shared" si="129"/>
        <v>8.3754471637045025E-3</v>
      </c>
      <c r="W132" s="76">
        <f t="shared" si="130"/>
        <v>4.4006586792345696E-3</v>
      </c>
      <c r="X132" s="76">
        <f t="shared" si="131"/>
        <v>4.7016069502015784E-2</v>
      </c>
      <c r="Y132" s="76">
        <f t="shared" si="132"/>
        <v>0.74493214468230085</v>
      </c>
      <c r="Z132" s="76">
        <f t="shared" si="133"/>
        <v>3.940718868888763E-2</v>
      </c>
      <c r="AA132" s="76">
        <f t="shared" si="134"/>
        <v>3.6170575208676392E-2</v>
      </c>
      <c r="AB132" s="76">
        <f t="shared" si="135"/>
        <v>1.6608937595820793E-2</v>
      </c>
      <c r="AC132" s="76">
        <f t="shared" si="136"/>
        <v>0.10237919482141843</v>
      </c>
      <c r="AE132" s="76">
        <f t="shared" si="114"/>
        <v>24.030979026161713</v>
      </c>
      <c r="AF132" s="76">
        <f t="shared" si="115"/>
        <v>15.444694642260878</v>
      </c>
      <c r="AG132" s="76">
        <f t="shared" si="141"/>
        <v>6.9311844251037975</v>
      </c>
      <c r="AH132" s="76">
        <f t="shared" si="116"/>
        <v>32.945603688287491</v>
      </c>
      <c r="AI132" s="76">
        <f t="shared" si="117"/>
        <v>85.81884873615283</v>
      </c>
      <c r="AJ132" s="76">
        <f t="shared" si="118"/>
        <v>37.95436094208754</v>
      </c>
      <c r="AK132" s="76">
        <f t="shared" si="143"/>
        <v>52.956909362767099</v>
      </c>
      <c r="AL132" s="76">
        <f t="shared" si="119"/>
        <v>28.482034188307736</v>
      </c>
      <c r="AM132" s="76">
        <f t="shared" si="137"/>
        <v>26.854039683546276</v>
      </c>
      <c r="AN132" s="76"/>
      <c r="AO132" s="76">
        <f t="shared" si="120"/>
        <v>4.8543689320388349E-2</v>
      </c>
      <c r="AP132" s="76">
        <f t="shared" si="121"/>
        <v>7.2913319656936655E-3</v>
      </c>
      <c r="AQ132" s="76">
        <f t="shared" si="142"/>
        <v>1.2848143236074271E-2</v>
      </c>
      <c r="AR132" s="76">
        <f t="shared" si="122"/>
        <v>1.6982351071139233E-2</v>
      </c>
      <c r="AS132" s="76">
        <f t="shared" si="123"/>
        <v>2.1984080435693341</v>
      </c>
      <c r="AT132" s="76">
        <f t="shared" si="124"/>
        <v>3.6366494615767547E-2</v>
      </c>
      <c r="AU132" s="76">
        <f t="shared" si="144"/>
        <v>1.5651105651105651E-2</v>
      </c>
      <c r="AV132" s="76">
        <f t="shared" si="125"/>
        <v>2.1661852921572983E-2</v>
      </c>
      <c r="AW132" s="96">
        <f t="shared" si="138"/>
        <v>4.6686984870102461E-3</v>
      </c>
      <c r="AY132" s="97">
        <v>25</v>
      </c>
      <c r="AZ132" s="97">
        <v>295</v>
      </c>
      <c r="BA132" s="97">
        <v>155</v>
      </c>
      <c r="BB132" s="97">
        <v>1656</v>
      </c>
      <c r="BC132" s="97">
        <v>26238</v>
      </c>
      <c r="BD132" s="97">
        <v>1388</v>
      </c>
      <c r="BE132" s="97">
        <v>1274</v>
      </c>
      <c r="BF132" s="97">
        <v>585</v>
      </c>
      <c r="BG132" s="97">
        <v>3606</v>
      </c>
      <c r="BI132" s="99">
        <v>515</v>
      </c>
      <c r="BJ132" s="99">
        <v>40459</v>
      </c>
      <c r="BK132" s="99">
        <v>12064</v>
      </c>
      <c r="BL132" s="99">
        <v>97513</v>
      </c>
      <c r="BM132" s="99">
        <v>11935</v>
      </c>
      <c r="BN132" s="99">
        <v>38167</v>
      </c>
      <c r="BO132" s="99">
        <v>81400</v>
      </c>
      <c r="BP132" s="99">
        <v>27006</v>
      </c>
      <c r="BQ132" s="101">
        <v>772378</v>
      </c>
    </row>
    <row r="133" spans="1:69">
      <c r="A133" s="4">
        <v>1933</v>
      </c>
      <c r="B133" s="51">
        <f t="shared" si="146"/>
        <v>35.502924300614019</v>
      </c>
      <c r="R133" s="51">
        <f t="shared" si="139"/>
        <v>51.950026160729131</v>
      </c>
      <c r="S133" s="51">
        <f t="shared" si="145"/>
        <v>36.188398480307164</v>
      </c>
      <c r="U133" s="76">
        <f t="shared" si="128"/>
        <v>1.0785058747880985E-2</v>
      </c>
      <c r="V133" s="76">
        <f t="shared" si="129"/>
        <v>5.0856374583503833E-3</v>
      </c>
      <c r="W133" s="76">
        <f t="shared" si="130"/>
        <v>7.6869117904951193E-3</v>
      </c>
      <c r="X133" s="76">
        <f t="shared" si="131"/>
        <v>3.9165253989594903E-2</v>
      </c>
      <c r="Y133" s="76">
        <f t="shared" si="132"/>
        <v>0.76483310925352199</v>
      </c>
      <c r="Z133" s="76">
        <f t="shared" si="133"/>
        <v>4.0802010872742149E-2</v>
      </c>
      <c r="AA133" s="76">
        <f t="shared" si="134"/>
        <v>2.3586835798211258E-2</v>
      </c>
      <c r="AB133" s="76">
        <f t="shared" si="135"/>
        <v>1.1077336762728707E-2</v>
      </c>
      <c r="AC133" s="76">
        <f t="shared" si="136"/>
        <v>9.6977845326474549E-2</v>
      </c>
      <c r="AE133" s="76">
        <f t="shared" si="114"/>
        <v>15.622088768448272</v>
      </c>
      <c r="AF133" s="76">
        <f t="shared" si="115"/>
        <v>14.470807223178417</v>
      </c>
      <c r="AG133" s="76">
        <f t="shared" si="141"/>
        <v>12.018681937326138</v>
      </c>
      <c r="AH133" s="76">
        <f t="shared" si="116"/>
        <v>26.341742895149363</v>
      </c>
      <c r="AI133" s="76">
        <f t="shared" si="117"/>
        <v>66.079007865673844</v>
      </c>
      <c r="AJ133" s="76">
        <f t="shared" si="118"/>
        <v>30.304582174689425</v>
      </c>
      <c r="AK133" s="76">
        <f t="shared" si="143"/>
        <v>46.107128193671862</v>
      </c>
      <c r="AL133" s="76">
        <f t="shared" si="119"/>
        <v>24.796099940476495</v>
      </c>
      <c r="AM133" s="76">
        <f t="shared" si="137"/>
        <v>22.451359479137562</v>
      </c>
      <c r="AN133" s="76"/>
      <c r="AO133" s="76">
        <f t="shared" si="120"/>
        <v>3.1557341999486871E-2</v>
      </c>
      <c r="AP133" s="76">
        <f t="shared" si="121"/>
        <v>6.8315665488810368E-3</v>
      </c>
      <c r="AQ133" s="76">
        <f t="shared" si="142"/>
        <v>2.2278695468022025E-2</v>
      </c>
      <c r="AR133" s="76">
        <f t="shared" si="122"/>
        <v>1.357828285387133E-2</v>
      </c>
      <c r="AS133" s="76">
        <f t="shared" si="123"/>
        <v>1.6927356232615305</v>
      </c>
      <c r="AT133" s="76">
        <f t="shared" si="124"/>
        <v>2.9036753541194334E-2</v>
      </c>
      <c r="AU133" s="76">
        <f t="shared" si="144"/>
        <v>1.3626692783087367E-2</v>
      </c>
      <c r="AV133" s="76">
        <f t="shared" si="125"/>
        <v>1.8858536099915411E-2</v>
      </c>
      <c r="AW133" s="96">
        <f t="shared" si="138"/>
        <v>3.9032722550043763E-3</v>
      </c>
      <c r="AY133" s="97">
        <v>369</v>
      </c>
      <c r="AZ133" s="97">
        <v>174</v>
      </c>
      <c r="BA133" s="97">
        <v>263</v>
      </c>
      <c r="BB133" s="97">
        <v>1340</v>
      </c>
      <c r="BC133" s="97">
        <v>26168</v>
      </c>
      <c r="BD133" s="97">
        <v>1396</v>
      </c>
      <c r="BE133" s="97">
        <v>807</v>
      </c>
      <c r="BF133" s="97">
        <v>379</v>
      </c>
      <c r="BG133" s="97">
        <v>3318</v>
      </c>
      <c r="BI133" s="99">
        <v>11693</v>
      </c>
      <c r="BJ133" s="99">
        <v>25470</v>
      </c>
      <c r="BK133" s="99">
        <v>11805</v>
      </c>
      <c r="BL133" s="99">
        <v>98687</v>
      </c>
      <c r="BM133" s="99">
        <v>15459</v>
      </c>
      <c r="BN133" s="99">
        <v>48077</v>
      </c>
      <c r="BO133" s="99">
        <v>59222</v>
      </c>
      <c r="BP133" s="99">
        <v>20097</v>
      </c>
      <c r="BQ133" s="101">
        <v>850056</v>
      </c>
    </row>
    <row r="134" spans="1:69">
      <c r="A134" s="4">
        <v>1934</v>
      </c>
      <c r="B134" s="51">
        <f t="shared" si="146"/>
        <v>32.957239194117982</v>
      </c>
      <c r="R134" s="51">
        <f t="shared" si="139"/>
        <v>46.602334661361084</v>
      </c>
      <c r="S134" s="51">
        <f t="shared" si="145"/>
        <v>34.763288703329742</v>
      </c>
      <c r="U134" s="76">
        <f t="shared" si="128"/>
        <v>0.14029707138132178</v>
      </c>
      <c r="V134" s="76">
        <f t="shared" si="129"/>
        <v>4.4500571291117928E-3</v>
      </c>
      <c r="W134" s="76">
        <f t="shared" si="130"/>
        <v>1.0283240122677251E-2</v>
      </c>
      <c r="X134" s="76">
        <f t="shared" si="131"/>
        <v>4.0200853929881535E-2</v>
      </c>
      <c r="Y134" s="76">
        <f t="shared" si="132"/>
        <v>0.64769378796079136</v>
      </c>
      <c r="Z134" s="76">
        <f t="shared" si="133"/>
        <v>4.1012688676408685E-2</v>
      </c>
      <c r="AA134" s="76">
        <f t="shared" si="134"/>
        <v>2.2099945877683564E-2</v>
      </c>
      <c r="AB134" s="76">
        <f t="shared" si="135"/>
        <v>1.5575199951891274E-2</v>
      </c>
      <c r="AC134" s="76">
        <f t="shared" si="136"/>
        <v>7.8387154970232728E-2</v>
      </c>
      <c r="AE134" s="76">
        <f t="shared" si="114"/>
        <v>18.252742766405262</v>
      </c>
      <c r="AF134" s="76">
        <f t="shared" si="115"/>
        <v>13.11869957134148</v>
      </c>
      <c r="AG134" s="76">
        <f t="shared" si="141"/>
        <v>15.58923948666348</v>
      </c>
      <c r="AH134" s="76">
        <f t="shared" si="116"/>
        <v>25.536749127666901</v>
      </c>
      <c r="AI134" s="76">
        <f t="shared" si="117"/>
        <v>59.439601204021066</v>
      </c>
      <c r="AJ134" s="76">
        <f t="shared" si="118"/>
        <v>26.065296798846276</v>
      </c>
      <c r="AK134" s="76">
        <f t="shared" si="143"/>
        <v>38.436801580226174</v>
      </c>
      <c r="AL134" s="76">
        <f t="shared" si="119"/>
        <v>22.00403933727641</v>
      </c>
      <c r="AM134" s="76">
        <f t="shared" si="137"/>
        <v>18.516291003086433</v>
      </c>
      <c r="AN134" s="76"/>
      <c r="AO134" s="76">
        <f t="shared" si="120"/>
        <v>3.6871384770995982E-2</v>
      </c>
      <c r="AP134" s="76">
        <f t="shared" si="121"/>
        <v>6.1932460141440352E-3</v>
      </c>
      <c r="AQ134" s="76">
        <f t="shared" si="142"/>
        <v>2.8897338403041824E-2</v>
      </c>
      <c r="AR134" s="76">
        <f t="shared" si="122"/>
        <v>1.3163335630599586E-2</v>
      </c>
      <c r="AS134" s="76">
        <f t="shared" si="123"/>
        <v>1.522654979854386</v>
      </c>
      <c r="AT134" s="76">
        <f t="shared" si="124"/>
        <v>2.4974823766364552E-2</v>
      </c>
      <c r="AU134" s="76">
        <f t="shared" si="144"/>
        <v>1.1359772495440635E-2</v>
      </c>
      <c r="AV134" s="76">
        <f t="shared" si="125"/>
        <v>1.6735049914386329E-2</v>
      </c>
      <c r="AW134" s="96">
        <f t="shared" si="138"/>
        <v>3.2191424757638211E-3</v>
      </c>
      <c r="AY134" s="97">
        <v>4666</v>
      </c>
      <c r="AZ134" s="97">
        <v>148</v>
      </c>
      <c r="BA134" s="97">
        <v>342</v>
      </c>
      <c r="BB134" s="97">
        <v>1337</v>
      </c>
      <c r="BC134" s="97">
        <v>21541</v>
      </c>
      <c r="BD134" s="97">
        <v>1364</v>
      </c>
      <c r="BE134" s="97">
        <v>735</v>
      </c>
      <c r="BF134" s="97">
        <v>518</v>
      </c>
      <c r="BG134" s="97">
        <v>2607</v>
      </c>
      <c r="BI134" s="99">
        <v>126548</v>
      </c>
      <c r="BJ134" s="99">
        <v>23897</v>
      </c>
      <c r="BK134" s="99">
        <v>11835</v>
      </c>
      <c r="BL134" s="99">
        <v>101570</v>
      </c>
      <c r="BM134" s="99">
        <v>14147</v>
      </c>
      <c r="BN134" s="99">
        <v>54615</v>
      </c>
      <c r="BO134" s="99">
        <v>64702</v>
      </c>
      <c r="BP134" s="99">
        <v>30953</v>
      </c>
      <c r="BQ134" s="101">
        <v>809843</v>
      </c>
    </row>
    <row r="135" spans="1:69">
      <c r="A135" s="4">
        <v>1935</v>
      </c>
      <c r="B135" s="51">
        <f t="shared" si="146"/>
        <v>27.175900346202319</v>
      </c>
      <c r="R135" s="51">
        <f t="shared" si="139"/>
        <v>37.007252223026363</v>
      </c>
      <c r="S135" s="51">
        <f t="shared" si="145"/>
        <v>29.765139621540765</v>
      </c>
      <c r="U135" s="76">
        <f t="shared" si="128"/>
        <v>0.1745771776188248</v>
      </c>
      <c r="V135" s="76">
        <f t="shared" si="129"/>
        <v>1.2066314593221472E-2</v>
      </c>
      <c r="W135" s="76">
        <f t="shared" si="130"/>
        <v>9.7600106959021323E-3</v>
      </c>
      <c r="X135" s="76">
        <f t="shared" si="131"/>
        <v>4.3518951801591016E-2</v>
      </c>
      <c r="Y135" s="76">
        <f t="shared" si="132"/>
        <v>0.58068721171201287</v>
      </c>
      <c r="Z135" s="76">
        <f t="shared" si="133"/>
        <v>4.1546894845912161E-2</v>
      </c>
      <c r="AA135" s="76">
        <f t="shared" si="134"/>
        <v>1.8149608931078282E-2</v>
      </c>
      <c r="AB135" s="76">
        <f t="shared" si="135"/>
        <v>1.7180292800320879E-2</v>
      </c>
      <c r="AC135" s="76">
        <f t="shared" si="136"/>
        <v>0.10251353700113644</v>
      </c>
      <c r="AE135" s="76">
        <f t="shared" si="114"/>
        <v>18.650972741434309</v>
      </c>
      <c r="AF135" s="76">
        <f t="shared" si="115"/>
        <v>8.9680634724771835</v>
      </c>
      <c r="AG135" s="76">
        <f t="shared" si="141"/>
        <v>14.675345871184147</v>
      </c>
      <c r="AH135" s="76">
        <f t="shared" si="116"/>
        <v>22.587483530409276</v>
      </c>
      <c r="AI135" s="76">
        <f t="shared" si="117"/>
        <v>44.242063545616254</v>
      </c>
      <c r="AJ135" s="76">
        <f t="shared" si="118"/>
        <v>24.353244377380388</v>
      </c>
      <c r="AK135" s="76">
        <f t="shared" si="143"/>
        <v>29.874615323559091</v>
      </c>
      <c r="AL135" s="76">
        <f t="shared" si="119"/>
        <v>20.569504486751384</v>
      </c>
      <c r="AM135" s="76">
        <f t="shared" si="137"/>
        <v>20.007618850251813</v>
      </c>
      <c r="AN135" s="76"/>
      <c r="AO135" s="76">
        <f t="shared" si="120"/>
        <v>3.7675827742912789E-2</v>
      </c>
      <c r="AP135" s="76">
        <f t="shared" si="121"/>
        <v>4.2337598367480972E-3</v>
      </c>
      <c r="AQ135" s="76">
        <f t="shared" si="142"/>
        <v>2.7203279299422397E-2</v>
      </c>
      <c r="AR135" s="76">
        <f t="shared" si="122"/>
        <v>1.1643088369431081E-2</v>
      </c>
      <c r="AS135" s="76">
        <f t="shared" si="123"/>
        <v>1.1333420314436689</v>
      </c>
      <c r="AT135" s="76">
        <f t="shared" si="124"/>
        <v>2.3334397116521806E-2</v>
      </c>
      <c r="AU135" s="76">
        <f t="shared" si="144"/>
        <v>8.829268292682926E-3</v>
      </c>
      <c r="AV135" s="76">
        <f t="shared" si="125"/>
        <v>1.5644022400779157E-2</v>
      </c>
      <c r="AW135" s="96">
        <f t="shared" si="138"/>
        <v>3.47841669095623E-3</v>
      </c>
      <c r="AY135" s="97">
        <v>5223</v>
      </c>
      <c r="AZ135" s="97">
        <v>361</v>
      </c>
      <c r="BA135" s="97">
        <v>292</v>
      </c>
      <c r="BB135" s="97">
        <v>1302</v>
      </c>
      <c r="BC135" s="97">
        <v>17373</v>
      </c>
      <c r="BD135" s="97">
        <v>1243</v>
      </c>
      <c r="BE135" s="97">
        <v>543</v>
      </c>
      <c r="BF135" s="97">
        <v>514</v>
      </c>
      <c r="BG135" s="97">
        <v>3067</v>
      </c>
      <c r="BI135" s="99">
        <v>138630</v>
      </c>
      <c r="BJ135" s="99">
        <v>85267</v>
      </c>
      <c r="BK135" s="99">
        <v>10734</v>
      </c>
      <c r="BL135" s="99">
        <v>111826</v>
      </c>
      <c r="BM135" s="99">
        <v>15329</v>
      </c>
      <c r="BN135" s="99">
        <v>53269</v>
      </c>
      <c r="BO135" s="99">
        <v>61500</v>
      </c>
      <c r="BP135" s="99">
        <v>32856</v>
      </c>
      <c r="BQ135" s="101">
        <v>881723</v>
      </c>
    </row>
    <row r="136" spans="1:69">
      <c r="A136" s="4">
        <v>1936</v>
      </c>
      <c r="B136" s="51">
        <f t="shared" si="146"/>
        <v>30.554347796756758</v>
      </c>
      <c r="R136" s="51">
        <f t="shared" si="139"/>
        <v>42.01965030112374</v>
      </c>
      <c r="S136" s="51">
        <f t="shared" si="145"/>
        <v>33.137556668726624</v>
      </c>
      <c r="U136" s="76">
        <f t="shared" si="128"/>
        <v>0.21144737215304762</v>
      </c>
      <c r="V136" s="76">
        <f t="shared" si="129"/>
        <v>9.7002013784496695E-3</v>
      </c>
      <c r="W136" s="76">
        <f t="shared" si="130"/>
        <v>1.5401196925433248E-2</v>
      </c>
      <c r="X136" s="76">
        <f t="shared" si="131"/>
        <v>5.8910287318830301E-2</v>
      </c>
      <c r="Y136" s="76">
        <f t="shared" si="132"/>
        <v>0.50446719800323336</v>
      </c>
      <c r="Z136" s="76">
        <f t="shared" si="133"/>
        <v>4.7281390929460813E-2</v>
      </c>
      <c r="AA136" s="76">
        <f t="shared" si="134"/>
        <v>1.4493575743823921E-2</v>
      </c>
      <c r="AB136" s="76">
        <f t="shared" si="135"/>
        <v>1.5004112658479167E-2</v>
      </c>
      <c r="AC136" s="76">
        <f t="shared" si="136"/>
        <v>0.12329466488924186</v>
      </c>
      <c r="AE136" s="76">
        <f t="shared" si="114"/>
        <v>18.42371459658002</v>
      </c>
      <c r="AF136" s="76">
        <f t="shared" si="115"/>
        <v>8.0337298917641178</v>
      </c>
      <c r="AG136" s="76">
        <f t="shared" si="141"/>
        <v>24.002955263275688</v>
      </c>
      <c r="AH136" s="76">
        <f t="shared" si="116"/>
        <v>33.103522434235039</v>
      </c>
      <c r="AI136" s="76">
        <f t="shared" si="117"/>
        <v>48.94323958881224</v>
      </c>
      <c r="AJ136" s="76">
        <f t="shared" si="118"/>
        <v>29.916362151848798</v>
      </c>
      <c r="AK136" s="76">
        <f t="shared" si="143"/>
        <v>25.960781271923839</v>
      </c>
      <c r="AL136" s="76">
        <f t="shared" si="119"/>
        <v>22.18674171066198</v>
      </c>
      <c r="AM136" s="76">
        <f t="shared" si="137"/>
        <v>27.182018593592638</v>
      </c>
      <c r="AN136" s="76"/>
      <c r="AO136" s="76">
        <f t="shared" si="120"/>
        <v>3.721675577720867E-2</v>
      </c>
      <c r="AP136" s="76">
        <f t="shared" si="121"/>
        <v>3.7926675094816687E-3</v>
      </c>
      <c r="AQ136" s="76">
        <f t="shared" si="142"/>
        <v>4.4493608652900689E-2</v>
      </c>
      <c r="AR136" s="76">
        <f t="shared" si="122"/>
        <v>1.7063752875451858E-2</v>
      </c>
      <c r="AS136" s="76">
        <f t="shared" si="123"/>
        <v>1.253771323840406</v>
      </c>
      <c r="AT136" s="76">
        <f t="shared" si="124"/>
        <v>2.8664775169804833E-2</v>
      </c>
      <c r="AU136" s="76">
        <f t="shared" si="144"/>
        <v>7.6725574691070709E-3</v>
      </c>
      <c r="AV136" s="76">
        <f t="shared" si="125"/>
        <v>1.6874003189792663E-2</v>
      </c>
      <c r="AW136" s="96">
        <f t="shared" si="138"/>
        <v>4.7257191311721345E-3</v>
      </c>
      <c r="AY136" s="97">
        <v>7455</v>
      </c>
      <c r="AZ136" s="97">
        <v>342</v>
      </c>
      <c r="BA136" s="97">
        <v>543</v>
      </c>
      <c r="BB136" s="97">
        <v>2077</v>
      </c>
      <c r="BC136" s="97">
        <v>17786</v>
      </c>
      <c r="BD136" s="97">
        <v>1667</v>
      </c>
      <c r="BE136" s="97">
        <v>511</v>
      </c>
      <c r="BF136" s="97">
        <v>529</v>
      </c>
      <c r="BG136" s="97">
        <v>4347</v>
      </c>
      <c r="BI136" s="99">
        <v>200313</v>
      </c>
      <c r="BJ136" s="99">
        <v>90174</v>
      </c>
      <c r="BK136" s="99">
        <v>12204</v>
      </c>
      <c r="BL136" s="99">
        <v>121720</v>
      </c>
      <c r="BM136" s="99">
        <v>14186</v>
      </c>
      <c r="BN136" s="99">
        <v>58155</v>
      </c>
      <c r="BO136" s="99">
        <v>66601</v>
      </c>
      <c r="BP136" s="99">
        <v>31350</v>
      </c>
      <c r="BQ136" s="101">
        <v>919860</v>
      </c>
    </row>
    <row r="137" spans="1:69">
      <c r="A137" s="4">
        <v>1937</v>
      </c>
      <c r="B137" s="51">
        <f t="shared" si="146"/>
        <v>34.67339745500373</v>
      </c>
      <c r="R137" s="51">
        <f t="shared" si="139"/>
        <v>49.162188493816963</v>
      </c>
      <c r="S137" s="51">
        <f t="shared" si="145"/>
        <v>36.474426295949662</v>
      </c>
      <c r="U137" s="76">
        <f t="shared" si="128"/>
        <v>0.21418458661680245</v>
      </c>
      <c r="V137" s="76">
        <f t="shared" si="129"/>
        <v>5.342593829304127E-5</v>
      </c>
      <c r="W137" s="76">
        <f t="shared" si="130"/>
        <v>1.6829170562308E-2</v>
      </c>
      <c r="X137" s="76">
        <f t="shared" si="131"/>
        <v>5.1395752637905703E-2</v>
      </c>
      <c r="Y137" s="76">
        <f t="shared" si="132"/>
        <v>0.4778148791238146</v>
      </c>
      <c r="Z137" s="76">
        <f t="shared" si="133"/>
        <v>6.8144784292774138E-2</v>
      </c>
      <c r="AA137" s="76">
        <f t="shared" si="134"/>
        <v>1.4745558968879391E-2</v>
      </c>
      <c r="AB137" s="76">
        <f t="shared" si="135"/>
        <v>1.9553893415253105E-2</v>
      </c>
      <c r="AC137" s="76">
        <f t="shared" si="136"/>
        <v>0.13727794844396954</v>
      </c>
      <c r="AE137" s="76">
        <f t="shared" si="114"/>
        <v>16.805822782249003</v>
      </c>
      <c r="AF137" s="76">
        <f t="shared" si="115"/>
        <v>13.622037179818689</v>
      </c>
      <c r="AG137" s="76">
        <f t="shared" si="141"/>
        <v>23.318417356190956</v>
      </c>
      <c r="AH137" s="76">
        <f t="shared" si="116"/>
        <v>35.509805339726761</v>
      </c>
      <c r="AI137" s="76">
        <f t="shared" si="117"/>
        <v>57.597254404975274</v>
      </c>
      <c r="AJ137" s="76">
        <f t="shared" si="118"/>
        <v>39.018437105496467</v>
      </c>
      <c r="AK137" s="76">
        <f t="shared" si="143"/>
        <v>28.506862797877169</v>
      </c>
      <c r="AL137" s="76">
        <f t="shared" si="119"/>
        <v>26.296950950066282</v>
      </c>
      <c r="AM137" s="76">
        <f t="shared" si="137"/>
        <v>31.756135306878551</v>
      </c>
      <c r="AN137" s="76"/>
      <c r="AO137" s="76">
        <f t="shared" si="120"/>
        <v>3.3948539467611706E-2</v>
      </c>
      <c r="AP137" s="76">
        <f t="shared" si="121"/>
        <v>6.4308681672025723E-3</v>
      </c>
      <c r="AQ137" s="76">
        <f t="shared" si="142"/>
        <v>4.3224699828473413E-2</v>
      </c>
      <c r="AR137" s="76">
        <f t="shared" si="122"/>
        <v>1.8304110814076281E-2</v>
      </c>
      <c r="AS137" s="76">
        <f t="shared" si="123"/>
        <v>1.4754598696692238</v>
      </c>
      <c r="AT137" s="76">
        <f t="shared" si="124"/>
        <v>3.7386053873435528E-2</v>
      </c>
      <c r="AU137" s="76">
        <f t="shared" si="144"/>
        <v>8.4250370121644099E-3</v>
      </c>
      <c r="AV137" s="76">
        <f t="shared" si="125"/>
        <v>0.02</v>
      </c>
      <c r="AW137" s="96">
        <f t="shared" si="138"/>
        <v>5.5209503898721339E-3</v>
      </c>
      <c r="AY137" s="97">
        <v>8018</v>
      </c>
      <c r="AZ137" s="97">
        <v>2</v>
      </c>
      <c r="BA137" s="97">
        <v>630</v>
      </c>
      <c r="BB137" s="97">
        <v>1924</v>
      </c>
      <c r="BC137" s="97">
        <v>17887</v>
      </c>
      <c r="BD137" s="97">
        <v>2551</v>
      </c>
      <c r="BE137" s="97">
        <v>552</v>
      </c>
      <c r="BF137" s="97">
        <v>732</v>
      </c>
      <c r="BG137" s="97">
        <v>5139</v>
      </c>
      <c r="BI137" s="99">
        <v>236181</v>
      </c>
      <c r="BJ137" s="99">
        <v>311</v>
      </c>
      <c r="BK137" s="99">
        <v>14575</v>
      </c>
      <c r="BL137" s="99">
        <v>105113</v>
      </c>
      <c r="BM137" s="99">
        <v>12123</v>
      </c>
      <c r="BN137" s="99">
        <v>68234</v>
      </c>
      <c r="BO137" s="99">
        <v>65519</v>
      </c>
      <c r="BP137" s="99">
        <v>36600</v>
      </c>
      <c r="BQ137" s="101">
        <v>930818</v>
      </c>
    </row>
    <row r="138" spans="1:69">
      <c r="A138" s="4">
        <v>1938</v>
      </c>
      <c r="B138" s="51">
        <f t="shared" si="146"/>
        <v>22.929172008126763</v>
      </c>
      <c r="R138" s="51">
        <f t="shared" si="139"/>
        <v>32.17959896237717</v>
      </c>
      <c r="S138" s="51">
        <f t="shared" si="145"/>
        <v>24.368174649483613</v>
      </c>
      <c r="U138" s="76">
        <f t="shared" si="128"/>
        <v>0.21289924694884446</v>
      </c>
      <c r="V138" s="76">
        <f t="shared" si="129"/>
        <v>6.4918203064139187E-4</v>
      </c>
      <c r="W138" s="76">
        <f t="shared" si="130"/>
        <v>1.0679044404050896E-2</v>
      </c>
      <c r="X138" s="76">
        <f t="shared" si="131"/>
        <v>4.8753570501168526E-2</v>
      </c>
      <c r="Y138" s="76">
        <f t="shared" si="132"/>
        <v>0.52557777200727085</v>
      </c>
      <c r="Z138" s="76">
        <f t="shared" si="133"/>
        <v>4.784471565827058E-2</v>
      </c>
      <c r="AA138" s="76">
        <f t="shared" si="134"/>
        <v>1.3600363541937159E-2</v>
      </c>
      <c r="AB138" s="76">
        <f t="shared" si="135"/>
        <v>1.9572838223837964E-2</v>
      </c>
      <c r="AC138" s="76">
        <f t="shared" si="136"/>
        <v>0.12042326668397818</v>
      </c>
      <c r="AE138" s="76">
        <f t="shared" si="114"/>
        <v>12.083088071596912</v>
      </c>
      <c r="AF138" s="76">
        <f t="shared" si="115"/>
        <v>5.2038491130372346</v>
      </c>
      <c r="AG138" s="76">
        <f t="shared" si="141"/>
        <v>8.3747248040100821</v>
      </c>
      <c r="AH138" s="76">
        <f t="shared" si="116"/>
        <v>22.78451519848171</v>
      </c>
      <c r="AI138" s="76">
        <f t="shared" si="117"/>
        <v>36.935903303298495</v>
      </c>
      <c r="AJ138" s="76">
        <f t="shared" si="118"/>
        <v>27.632546033687611</v>
      </c>
      <c r="AK138" s="76">
        <f t="shared" si="143"/>
        <v>22.417795463107485</v>
      </c>
      <c r="AL138" s="76">
        <f t="shared" si="119"/>
        <v>29.624969963924013</v>
      </c>
      <c r="AM138" s="76">
        <f t="shared" si="137"/>
        <v>20.575099760618642</v>
      </c>
      <c r="AN138" s="76"/>
      <c r="AO138" s="76">
        <f t="shared" si="120"/>
        <v>2.4408396875546575E-2</v>
      </c>
      <c r="AP138" s="76">
        <f t="shared" si="121"/>
        <v>2.4567006510256726E-3</v>
      </c>
      <c r="AQ138" s="76">
        <f t="shared" si="142"/>
        <v>1.5523993771528334E-2</v>
      </c>
      <c r="AR138" s="76">
        <f t="shared" si="122"/>
        <v>1.1744651570123858E-2</v>
      </c>
      <c r="AS138" s="76">
        <f t="shared" si="123"/>
        <v>0.94618126570443517</v>
      </c>
      <c r="AT138" s="76">
        <f t="shared" si="124"/>
        <v>2.6476505245006467E-2</v>
      </c>
      <c r="AU138" s="76">
        <f t="shared" si="144"/>
        <v>6.6254486804446485E-3</v>
      </c>
      <c r="AV138" s="76">
        <f t="shared" si="125"/>
        <v>2.253110637820872E-2</v>
      </c>
      <c r="AW138" s="96">
        <f t="shared" si="138"/>
        <v>3.5770758610050523E-3</v>
      </c>
      <c r="AY138" s="97">
        <v>6559</v>
      </c>
      <c r="AZ138" s="97">
        <v>20</v>
      </c>
      <c r="BA138" s="97">
        <v>329</v>
      </c>
      <c r="BB138" s="97">
        <v>1502</v>
      </c>
      <c r="BC138" s="97">
        <v>16192</v>
      </c>
      <c r="BD138" s="97">
        <v>1474</v>
      </c>
      <c r="BE138" s="97">
        <v>419</v>
      </c>
      <c r="BF138" s="97">
        <v>603</v>
      </c>
      <c r="BG138" s="97">
        <v>3710</v>
      </c>
      <c r="BI138" s="99">
        <v>268719</v>
      </c>
      <c r="BJ138" s="99">
        <v>8141</v>
      </c>
      <c r="BK138" s="99">
        <v>21193</v>
      </c>
      <c r="BL138" s="99">
        <v>127888</v>
      </c>
      <c r="BM138" s="99">
        <v>17113</v>
      </c>
      <c r="BN138" s="99">
        <v>55672</v>
      </c>
      <c r="BO138" s="99">
        <v>63241</v>
      </c>
      <c r="BP138" s="99">
        <v>26763</v>
      </c>
      <c r="BQ138" s="101">
        <v>1037160</v>
      </c>
    </row>
    <row r="139" spans="1:69">
      <c r="A139" s="4">
        <v>1939</v>
      </c>
      <c r="B139" s="51">
        <f t="shared" si="146"/>
        <v>21.433099489044579</v>
      </c>
      <c r="R139" s="51">
        <f t="shared" si="139"/>
        <v>29.918937382660605</v>
      </c>
      <c r="S139" s="51">
        <f t="shared" si="145"/>
        <v>22.900801188200727</v>
      </c>
      <c r="U139" s="76">
        <f t="shared" si="128"/>
        <v>0.25895064864681772</v>
      </c>
      <c r="V139" s="76">
        <f t="shared" si="129"/>
        <v>5.2840158520475562E-3</v>
      </c>
      <c r="W139" s="76">
        <f t="shared" si="130"/>
        <v>1.2769704975781594E-2</v>
      </c>
      <c r="X139" s="76">
        <f t="shared" si="131"/>
        <v>5.0604613352301597E-2</v>
      </c>
      <c r="Y139" s="76">
        <f t="shared" si="132"/>
        <v>0.50442028249161674</v>
      </c>
      <c r="Z139" s="76">
        <f t="shared" si="133"/>
        <v>5.531280696406192E-2</v>
      </c>
      <c r="AA139" s="76">
        <f t="shared" si="134"/>
        <v>1.4226196524743421E-2</v>
      </c>
      <c r="AB139" s="76">
        <f t="shared" si="135"/>
        <v>2.1779629441452428E-2</v>
      </c>
      <c r="AC139" s="76">
        <f t="shared" si="136"/>
        <v>7.6652101751177051E-2</v>
      </c>
      <c r="AE139" s="76">
        <f t="shared" si="114"/>
        <v>11.697405239841657</v>
      </c>
      <c r="AF139" s="76">
        <f t="shared" si="115"/>
        <v>6.6785920592595041</v>
      </c>
      <c r="AG139" s="76">
        <f t="shared" si="141"/>
        <v>10.76825806348401</v>
      </c>
      <c r="AH139" s="76">
        <f t="shared" si="116"/>
        <v>21.931415034210993</v>
      </c>
      <c r="AI139" s="76">
        <f t="shared" si="117"/>
        <v>35.234635635374175</v>
      </c>
      <c r="AJ139" s="76">
        <f t="shared" si="118"/>
        <v>29.654982558390152</v>
      </c>
      <c r="AK139" s="76">
        <f t="shared" si="143"/>
        <v>23.623308873626332</v>
      </c>
      <c r="AL139" s="76">
        <f t="shared" si="119"/>
        <v>23.919169723437754</v>
      </c>
      <c r="AM139" s="76">
        <f t="shared" si="137"/>
        <v>13.463128446981241</v>
      </c>
      <c r="AN139" s="76"/>
      <c r="AO139" s="76">
        <f t="shared" si="120"/>
        <v>2.3629299713481218E-2</v>
      </c>
      <c r="AP139" s="76">
        <f t="shared" si="121"/>
        <v>3.1529164477141357E-3</v>
      </c>
      <c r="AQ139" s="76">
        <f t="shared" si="142"/>
        <v>1.9960819611372901E-2</v>
      </c>
      <c r="AR139" s="76">
        <f t="shared" si="122"/>
        <v>1.1304907116643335E-2</v>
      </c>
      <c r="AS139" s="76">
        <f t="shared" si="123"/>
        <v>0.9026001575853082</v>
      </c>
      <c r="AT139" s="76">
        <f t="shared" si="124"/>
        <v>2.8414330705921247E-2</v>
      </c>
      <c r="AU139" s="76">
        <f t="shared" si="144"/>
        <v>6.9817311368585537E-3</v>
      </c>
      <c r="AV139" s="76">
        <f t="shared" si="125"/>
        <v>1.8191591693543823E-2</v>
      </c>
      <c r="AW139" s="96">
        <f t="shared" si="138"/>
        <v>2.340626890834527E-3</v>
      </c>
      <c r="AY139" s="97">
        <v>7645</v>
      </c>
      <c r="AZ139" s="97">
        <v>156</v>
      </c>
      <c r="BA139" s="97">
        <v>377</v>
      </c>
      <c r="BB139" s="97">
        <v>1494</v>
      </c>
      <c r="BC139" s="97">
        <v>14892</v>
      </c>
      <c r="BD139" s="97">
        <v>1633</v>
      </c>
      <c r="BE139" s="97">
        <v>420</v>
      </c>
      <c r="BF139" s="97">
        <v>643</v>
      </c>
      <c r="BG139" s="97">
        <v>2263</v>
      </c>
      <c r="BI139" s="99">
        <v>323539</v>
      </c>
      <c r="BJ139" s="99">
        <v>49478</v>
      </c>
      <c r="BK139" s="99">
        <v>18887</v>
      </c>
      <c r="BL139" s="99">
        <v>132155</v>
      </c>
      <c r="BM139" s="99">
        <v>16499</v>
      </c>
      <c r="BN139" s="99">
        <v>57471</v>
      </c>
      <c r="BO139" s="99">
        <v>60157</v>
      </c>
      <c r="BP139" s="99">
        <v>35346</v>
      </c>
      <c r="BQ139" s="101">
        <v>966835</v>
      </c>
    </row>
  </sheetData>
  <sheetCalcPr fullCalcOnLoad="1"/>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D20"/>
  <sheetViews>
    <sheetView workbookViewId="0">
      <pane xSplit="1" ySplit="3" topLeftCell="B4" activePane="bottomRight" state="frozen"/>
      <selection pane="topRight" activeCell="B1" sqref="B1"/>
      <selection pane="bottomLeft" activeCell="A4" sqref="A4"/>
      <selection pane="bottomRight" activeCell="D4" sqref="D4"/>
    </sheetView>
  </sheetViews>
  <sheetFormatPr baseColWidth="10" defaultRowHeight="15"/>
  <cols>
    <col min="1" max="16384" width="10.7109375" style="4"/>
  </cols>
  <sheetData>
    <row r="2" spans="1:4">
      <c r="B2" s="4" t="s">
        <v>336</v>
      </c>
    </row>
    <row r="3" spans="1:4">
      <c r="B3" s="4" t="s">
        <v>72</v>
      </c>
      <c r="C3" s="4" t="s">
        <v>337</v>
      </c>
      <c r="D3" s="4" t="s">
        <v>73</v>
      </c>
    </row>
    <row r="4" spans="1:4">
      <c r="A4" s="4">
        <v>1780</v>
      </c>
      <c r="B4" s="4">
        <v>49644</v>
      </c>
      <c r="C4" s="4">
        <v>52769</v>
      </c>
      <c r="D4" s="26">
        <f t="shared" ref="D4:D13" si="0">(C4/B4)*8</f>
        <v>8.503585528966239</v>
      </c>
    </row>
    <row r="5" spans="1:4">
      <c r="A5" s="4">
        <v>1781</v>
      </c>
      <c r="B5" s="4">
        <v>25560</v>
      </c>
      <c r="C5" s="4">
        <v>25560</v>
      </c>
      <c r="D5" s="26">
        <f t="shared" si="0"/>
        <v>8</v>
      </c>
    </row>
    <row r="6" spans="1:4">
      <c r="A6" s="4">
        <v>1782</v>
      </c>
      <c r="B6" s="4">
        <v>36292</v>
      </c>
      <c r="C6" s="4">
        <v>36292</v>
      </c>
      <c r="D6" s="26">
        <f t="shared" si="0"/>
        <v>8</v>
      </c>
    </row>
    <row r="7" spans="1:4">
      <c r="A7" s="4">
        <v>1783</v>
      </c>
      <c r="B7" s="4">
        <v>462412</v>
      </c>
      <c r="C7" s="4">
        <v>544400</v>
      </c>
      <c r="D7" s="26">
        <f t="shared" si="0"/>
        <v>9.4184406979057638</v>
      </c>
    </row>
    <row r="8" spans="1:4">
      <c r="A8" s="4">
        <v>1784</v>
      </c>
      <c r="B8" s="4">
        <v>355520</v>
      </c>
      <c r="C8" s="4">
        <v>515504</v>
      </c>
      <c r="D8" s="26">
        <f t="shared" si="0"/>
        <v>11.6</v>
      </c>
    </row>
    <row r="9" spans="1:4">
      <c r="A9" s="4">
        <v>1785</v>
      </c>
      <c r="B9" s="4">
        <v>180496</v>
      </c>
      <c r="C9" s="4">
        <v>198550</v>
      </c>
      <c r="D9" s="26">
        <f t="shared" si="0"/>
        <v>8.8001950181721487</v>
      </c>
    </row>
    <row r="10" spans="1:4">
      <c r="A10" s="4">
        <v>1786</v>
      </c>
      <c r="B10" s="4">
        <v>272100</v>
      </c>
      <c r="C10" s="4">
        <v>272100</v>
      </c>
      <c r="D10" s="26">
        <f t="shared" si="0"/>
        <v>8</v>
      </c>
    </row>
    <row r="11" spans="1:4">
      <c r="A11" s="4">
        <v>1787</v>
      </c>
      <c r="B11" s="4">
        <v>248844</v>
      </c>
      <c r="C11" s="4">
        <v>323497</v>
      </c>
      <c r="D11" s="26">
        <f t="shared" si="0"/>
        <v>10.399993570268924</v>
      </c>
    </row>
    <row r="12" spans="1:4">
      <c r="A12" s="4">
        <v>1788</v>
      </c>
      <c r="B12" s="4">
        <v>229600</v>
      </c>
      <c r="C12" s="4">
        <v>298480</v>
      </c>
      <c r="D12" s="26">
        <f t="shared" si="0"/>
        <v>10.4</v>
      </c>
    </row>
    <row r="13" spans="1:4">
      <c r="A13" s="4">
        <v>1789</v>
      </c>
      <c r="B13" s="4">
        <v>190000</v>
      </c>
      <c r="C13" s="4">
        <v>231800</v>
      </c>
      <c r="D13" s="26">
        <f t="shared" si="0"/>
        <v>9.76</v>
      </c>
    </row>
    <row r="14" spans="1:4">
      <c r="A14" s="4">
        <v>1790</v>
      </c>
      <c r="B14" s="24">
        <v>332401</v>
      </c>
      <c r="C14" s="24">
        <v>206360</v>
      </c>
      <c r="D14" s="26">
        <f>(C14/B14)*8</f>
        <v>4.9665313882930553</v>
      </c>
    </row>
    <row r="15" spans="1:4">
      <c r="A15" s="4">
        <v>1791</v>
      </c>
      <c r="B15" s="24">
        <v>280953</v>
      </c>
      <c r="C15" s="24">
        <v>316000</v>
      </c>
      <c r="D15" s="26">
        <f t="shared" ref="D15:D20" si="1">(C15/B15)*8</f>
        <v>8.9979462757115964</v>
      </c>
    </row>
    <row r="16" spans="1:4">
      <c r="A16" s="4">
        <v>1792</v>
      </c>
      <c r="B16" s="24">
        <v>469680</v>
      </c>
      <c r="C16" s="24">
        <v>469680</v>
      </c>
      <c r="D16" s="26">
        <f t="shared" si="1"/>
        <v>8</v>
      </c>
    </row>
    <row r="17" spans="1:4">
      <c r="A17" s="4">
        <v>1793</v>
      </c>
      <c r="B17" s="24">
        <v>418770</v>
      </c>
      <c r="C17" s="24">
        <v>418770</v>
      </c>
      <c r="D17" s="26">
        <f t="shared" si="1"/>
        <v>8</v>
      </c>
    </row>
    <row r="18" spans="1:4">
      <c r="A18" s="4">
        <v>1794</v>
      </c>
      <c r="B18" s="24">
        <v>516000</v>
      </c>
      <c r="C18" s="24">
        <v>593400</v>
      </c>
      <c r="D18" s="26">
        <f t="shared" si="1"/>
        <v>9.1999999999999993</v>
      </c>
    </row>
    <row r="19" spans="1:4">
      <c r="A19" s="4">
        <v>1795</v>
      </c>
      <c r="B19" s="24">
        <v>238344</v>
      </c>
      <c r="C19" s="24">
        <v>417102</v>
      </c>
      <c r="D19" s="26">
        <f t="shared" si="1"/>
        <v>14</v>
      </c>
    </row>
    <row r="20" spans="1:4">
      <c r="A20" s="4">
        <v>1796</v>
      </c>
      <c r="B20" s="24">
        <v>390780</v>
      </c>
      <c r="C20" s="24">
        <v>683865</v>
      </c>
      <c r="D20" s="26">
        <f t="shared" si="1"/>
        <v>14</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37"/>
  <sheetViews>
    <sheetView workbookViewId="0">
      <pane xSplit="1" ySplit="1" topLeftCell="B2" activePane="bottomRight" state="frozen"/>
      <selection pane="topRight" activeCell="B1" sqref="B1"/>
      <selection pane="bottomLeft" activeCell="A2" sqref="A2"/>
      <selection pane="bottomRight" sqref="A1:A1048576"/>
    </sheetView>
  </sheetViews>
  <sheetFormatPr baseColWidth="10" defaultRowHeight="15"/>
  <cols>
    <col min="1" max="1" width="10.7109375" style="5" customWidth="1"/>
    <col min="2" max="2" width="10.7109375" style="4" customWidth="1"/>
    <col min="3" max="10" width="10.7109375" style="4"/>
    <col min="11" max="12" width="5.28515625" style="4" customWidth="1"/>
    <col min="13" max="16384" width="10.7109375" style="4"/>
  </cols>
  <sheetData>
    <row r="1" spans="1:20">
      <c r="B1" s="4" t="s">
        <v>73</v>
      </c>
    </row>
    <row r="2" spans="1:20">
      <c r="A2" s="5">
        <v>1810</v>
      </c>
      <c r="B2" s="27">
        <v>12</v>
      </c>
      <c r="C2" s="35"/>
      <c r="D2" s="35"/>
      <c r="E2" s="35"/>
      <c r="F2" s="35"/>
      <c r="G2" s="35"/>
      <c r="L2" s="14"/>
      <c r="O2" s="28"/>
      <c r="S2" s="28"/>
    </row>
    <row r="3" spans="1:20">
      <c r="A3" s="5">
        <v>1811</v>
      </c>
      <c r="B3" s="27">
        <v>12</v>
      </c>
      <c r="C3" s="35"/>
      <c r="D3" s="35"/>
      <c r="E3" s="35"/>
      <c r="F3" s="35"/>
      <c r="G3" s="35"/>
      <c r="L3" s="14"/>
      <c r="O3" s="28"/>
      <c r="S3" s="28"/>
    </row>
    <row r="4" spans="1:20">
      <c r="A4" s="5">
        <v>1812</v>
      </c>
      <c r="B4" s="27">
        <v>20</v>
      </c>
      <c r="C4" s="35"/>
      <c r="D4" s="35"/>
      <c r="E4" s="35"/>
      <c r="F4" s="35"/>
      <c r="G4" s="35"/>
      <c r="L4" s="14"/>
      <c r="O4" s="28"/>
      <c r="S4" s="28"/>
    </row>
    <row r="5" spans="1:20">
      <c r="A5" s="5">
        <v>1813</v>
      </c>
      <c r="B5" s="27">
        <v>20</v>
      </c>
      <c r="C5" s="35"/>
      <c r="D5" s="35"/>
      <c r="E5" s="35"/>
      <c r="F5" s="35"/>
      <c r="G5" s="35"/>
      <c r="L5" s="14"/>
      <c r="O5" s="28"/>
      <c r="S5" s="28"/>
    </row>
    <row r="6" spans="1:20">
      <c r="A6" s="5">
        <v>1814</v>
      </c>
      <c r="B6" s="27">
        <v>20</v>
      </c>
      <c r="C6" s="35"/>
      <c r="D6" s="35"/>
      <c r="E6" s="35"/>
      <c r="F6" s="35"/>
      <c r="G6" s="35"/>
      <c r="L6" s="14"/>
      <c r="O6" s="28"/>
      <c r="S6" s="28"/>
    </row>
    <row r="7" spans="1:20">
      <c r="A7" s="5">
        <v>1815</v>
      </c>
      <c r="B7" s="27">
        <v>20</v>
      </c>
      <c r="C7" s="35"/>
      <c r="D7" s="35"/>
      <c r="E7" s="35"/>
      <c r="F7" s="35"/>
      <c r="G7" s="35"/>
      <c r="L7" s="14"/>
      <c r="O7" s="28"/>
      <c r="S7" s="28"/>
    </row>
    <row r="8" spans="1:20">
      <c r="A8" s="5">
        <v>1816</v>
      </c>
      <c r="B8" s="27">
        <v>32</v>
      </c>
      <c r="C8" s="35"/>
      <c r="D8" s="35"/>
      <c r="E8" s="35"/>
      <c r="F8" s="35"/>
      <c r="G8" s="35"/>
      <c r="L8" s="14"/>
      <c r="O8" s="28"/>
      <c r="S8" s="28"/>
    </row>
    <row r="9" spans="1:20">
      <c r="A9" s="5">
        <v>1817</v>
      </c>
      <c r="B9" s="27">
        <v>32</v>
      </c>
      <c r="C9" s="35"/>
      <c r="D9" s="35"/>
      <c r="E9" s="35"/>
      <c r="F9" s="35"/>
      <c r="G9" s="35"/>
      <c r="L9" s="14"/>
      <c r="O9" s="28"/>
      <c r="S9" s="28"/>
    </row>
    <row r="10" spans="1:20">
      <c r="A10" s="5">
        <v>1818</v>
      </c>
      <c r="B10" s="27">
        <v>32</v>
      </c>
      <c r="C10" s="35"/>
      <c r="D10" s="35"/>
      <c r="E10" s="35"/>
      <c r="F10" s="35"/>
      <c r="G10" s="35"/>
      <c r="L10" s="14"/>
      <c r="O10" s="28"/>
      <c r="S10" s="28"/>
    </row>
    <row r="11" spans="1:20">
      <c r="A11" s="5">
        <v>1819</v>
      </c>
      <c r="B11" s="27">
        <v>32</v>
      </c>
      <c r="C11" s="35"/>
      <c r="D11" s="35"/>
      <c r="E11" s="35"/>
      <c r="F11" s="35"/>
      <c r="G11" s="35"/>
      <c r="L11" s="14"/>
      <c r="O11" s="28"/>
      <c r="S11" s="28"/>
    </row>
    <row r="12" spans="1:20">
      <c r="A12" s="5">
        <v>1820</v>
      </c>
      <c r="B12" s="27">
        <v>32</v>
      </c>
      <c r="C12" s="35"/>
      <c r="D12" s="35"/>
      <c r="E12" s="35"/>
      <c r="F12" s="35"/>
      <c r="G12" s="35"/>
      <c r="L12" s="14"/>
      <c r="O12" s="28"/>
      <c r="S12" s="28"/>
    </row>
    <row r="13" spans="1:20">
      <c r="A13" s="5">
        <v>1821</v>
      </c>
      <c r="B13" s="27">
        <v>48</v>
      </c>
      <c r="C13" s="35"/>
      <c r="D13" s="35"/>
      <c r="E13" s="35"/>
      <c r="F13" s="35"/>
      <c r="G13" s="35"/>
      <c r="H13" s="28"/>
      <c r="I13" s="28"/>
      <c r="J13" s="28"/>
      <c r="L13" s="14"/>
      <c r="O13" s="28"/>
      <c r="P13" s="28"/>
      <c r="S13" s="28"/>
      <c r="T13" s="28"/>
    </row>
    <row r="14" spans="1:20">
      <c r="A14" s="5">
        <v>1822</v>
      </c>
      <c r="B14" s="27">
        <v>48</v>
      </c>
      <c r="C14" s="35"/>
      <c r="D14" s="35"/>
      <c r="E14" s="35"/>
      <c r="F14" s="35"/>
      <c r="G14" s="35"/>
      <c r="H14" s="28"/>
      <c r="I14" s="28"/>
      <c r="J14" s="28"/>
      <c r="L14" s="14"/>
      <c r="O14" s="28"/>
      <c r="S14" s="28"/>
    </row>
    <row r="15" spans="1:20">
      <c r="A15" s="5">
        <v>1823</v>
      </c>
      <c r="B15" s="27">
        <v>48</v>
      </c>
      <c r="C15" s="35"/>
      <c r="D15" s="35"/>
      <c r="E15" s="35"/>
      <c r="F15" s="35"/>
      <c r="G15" s="35"/>
      <c r="H15" s="28"/>
      <c r="I15" s="28"/>
      <c r="J15" s="28"/>
      <c r="L15" s="14"/>
      <c r="O15" s="28"/>
      <c r="S15" s="28"/>
    </row>
    <row r="16" spans="1:20">
      <c r="A16" s="5">
        <v>1824</v>
      </c>
      <c r="B16" s="27">
        <v>48</v>
      </c>
      <c r="D16" s="35"/>
      <c r="E16" s="35"/>
      <c r="F16" s="35"/>
      <c r="G16" s="35"/>
      <c r="L16" s="14"/>
      <c r="O16" s="28"/>
      <c r="S16" s="28"/>
    </row>
    <row r="17" spans="12:20">
      <c r="L17" s="14"/>
      <c r="O17" s="28"/>
      <c r="S17" s="28"/>
    </row>
    <row r="18" spans="12:20">
      <c r="L18" s="14"/>
      <c r="O18" s="28"/>
      <c r="S18" s="28"/>
    </row>
    <row r="19" spans="12:20">
      <c r="L19" s="14"/>
      <c r="O19" s="28"/>
      <c r="S19" s="28"/>
    </row>
    <row r="20" spans="12:20">
      <c r="L20" s="14"/>
      <c r="O20" s="28"/>
      <c r="S20" s="28"/>
    </row>
    <row r="21" spans="12:20">
      <c r="L21" s="14"/>
      <c r="O21" s="28"/>
      <c r="S21" s="28"/>
    </row>
    <row r="22" spans="12:20">
      <c r="L22" s="14"/>
      <c r="O22" s="28"/>
      <c r="S22" s="28"/>
    </row>
    <row r="23" spans="12:20">
      <c r="L23" s="14"/>
      <c r="O23" s="28"/>
      <c r="S23" s="28"/>
    </row>
    <row r="24" spans="12:20">
      <c r="L24" s="14"/>
      <c r="O24" s="28"/>
      <c r="S24" s="28"/>
    </row>
    <row r="25" spans="12:20">
      <c r="L25" s="14"/>
      <c r="O25" s="28"/>
      <c r="P25" s="28"/>
      <c r="S25" s="28"/>
      <c r="T25" s="28"/>
    </row>
    <row r="26" spans="12:20">
      <c r="L26" s="14"/>
      <c r="O26" s="28"/>
      <c r="S26" s="28"/>
    </row>
    <row r="27" spans="12:20">
      <c r="L27" s="14"/>
      <c r="O27" s="28"/>
      <c r="S27" s="28"/>
    </row>
    <row r="28" spans="12:20">
      <c r="L28" s="14"/>
      <c r="O28" s="28"/>
      <c r="S28" s="28"/>
    </row>
    <row r="29" spans="12:20">
      <c r="L29" s="14"/>
      <c r="O29" s="28"/>
      <c r="S29" s="28"/>
    </row>
    <row r="30" spans="12:20">
      <c r="L30" s="14"/>
      <c r="O30" s="28"/>
      <c r="S30" s="28"/>
    </row>
    <row r="31" spans="12:20">
      <c r="L31" s="14"/>
      <c r="O31" s="28"/>
      <c r="S31" s="28"/>
    </row>
    <row r="32" spans="12:20">
      <c r="L32" s="14"/>
      <c r="O32" s="28"/>
      <c r="S32" s="28"/>
    </row>
    <row r="33" spans="12:20">
      <c r="L33" s="14"/>
      <c r="O33" s="28"/>
      <c r="S33" s="28"/>
    </row>
    <row r="34" spans="12:20">
      <c r="L34" s="14"/>
      <c r="O34" s="28"/>
      <c r="S34" s="28"/>
    </row>
    <row r="35" spans="12:20">
      <c r="L35" s="14"/>
      <c r="O35" s="28"/>
      <c r="S35" s="28"/>
    </row>
    <row r="36" spans="12:20">
      <c r="L36" s="14"/>
      <c r="O36" s="28"/>
      <c r="S36" s="28"/>
    </row>
    <row r="37" spans="12:20">
      <c r="L37" s="14"/>
      <c r="O37" s="28"/>
      <c r="P37" s="28"/>
      <c r="S37" s="28"/>
      <c r="T37" s="28"/>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39"/>
  <sheetViews>
    <sheetView workbookViewId="0">
      <pane xSplit="1" ySplit="3" topLeftCell="B4" activePane="bottomRight" state="frozen"/>
      <selection pane="topRight" activeCell="B1" sqref="B1"/>
      <selection pane="bottomLeft" activeCell="A3" sqref="A3"/>
      <selection pane="bottomRight" activeCell="C4" sqref="C4"/>
    </sheetView>
  </sheetViews>
  <sheetFormatPr baseColWidth="10" defaultRowHeight="15"/>
  <cols>
    <col min="1" max="1" width="10.7109375" style="5"/>
    <col min="2" max="4" width="10.7109375" style="4"/>
    <col min="5" max="6" width="5.42578125" style="4" customWidth="1"/>
    <col min="7" max="16384" width="10.7109375" style="4"/>
  </cols>
  <sheetData>
    <row r="1" spans="1:10">
      <c r="B1" s="33" t="s">
        <v>233</v>
      </c>
      <c r="G1" s="33" t="s">
        <v>232</v>
      </c>
    </row>
    <row r="2" spans="1:10">
      <c r="B2" s="4" t="s">
        <v>356</v>
      </c>
      <c r="C2" s="4" t="s">
        <v>297</v>
      </c>
      <c r="G2" s="4" t="s">
        <v>356</v>
      </c>
      <c r="I2" s="4" t="s">
        <v>297</v>
      </c>
    </row>
    <row r="3" spans="1:10">
      <c r="G3" s="4" t="s">
        <v>338</v>
      </c>
      <c r="H3" s="4" t="s">
        <v>285</v>
      </c>
      <c r="I3" s="4" t="s">
        <v>338</v>
      </c>
      <c r="J3" s="4" t="s">
        <v>285</v>
      </c>
    </row>
    <row r="4" spans="1:10">
      <c r="A4" s="5">
        <v>1821</v>
      </c>
      <c r="B4" s="75">
        <f>AVERAGE(G4:H15)</f>
        <v>43.166666666666664</v>
      </c>
      <c r="C4" s="51">
        <f>AVERAGE(I4:J15)</f>
        <v>39.833333333333336</v>
      </c>
      <c r="E4" s="4">
        <v>1821</v>
      </c>
      <c r="F4" s="4" t="s">
        <v>74</v>
      </c>
      <c r="G4" s="4">
        <v>34</v>
      </c>
      <c r="H4" s="4">
        <v>36</v>
      </c>
      <c r="I4" s="4">
        <v>30</v>
      </c>
      <c r="J4" s="4">
        <f>I4</f>
        <v>30</v>
      </c>
    </row>
    <row r="5" spans="1:10">
      <c r="A5" s="5">
        <v>1822</v>
      </c>
      <c r="B5" s="75">
        <f>AVERAGE(G16:H27)</f>
        <v>46.625</v>
      </c>
      <c r="C5" s="51">
        <f>AVERAGE(I16:J27)</f>
        <v>42.666666666666664</v>
      </c>
      <c r="F5" s="4" t="s">
        <v>229</v>
      </c>
      <c r="G5" s="4">
        <v>34</v>
      </c>
      <c r="H5" s="4">
        <v>38</v>
      </c>
      <c r="I5" s="4">
        <v>32</v>
      </c>
      <c r="J5" s="4">
        <f>I5</f>
        <v>32</v>
      </c>
    </row>
    <row r="6" spans="1:10">
      <c r="A6" s="5">
        <v>1823</v>
      </c>
      <c r="B6" s="75">
        <f>AVERAGE(G28:H39)</f>
        <v>48.583333333333336</v>
      </c>
      <c r="C6" s="51">
        <f>AVERAGE(I28:J39)</f>
        <v>45.055555555555557</v>
      </c>
      <c r="F6" s="4" t="s">
        <v>130</v>
      </c>
      <c r="G6" s="4">
        <v>40</v>
      </c>
      <c r="H6" s="4">
        <v>48</v>
      </c>
      <c r="I6" s="4">
        <v>44</v>
      </c>
      <c r="J6" s="4">
        <v>48</v>
      </c>
    </row>
    <row r="7" spans="1:10">
      <c r="F7" s="4" t="s">
        <v>131</v>
      </c>
      <c r="G7" s="4">
        <v>40</v>
      </c>
      <c r="H7" s="4">
        <v>45</v>
      </c>
      <c r="I7" s="4">
        <v>40</v>
      </c>
      <c r="J7" s="4">
        <f>I7</f>
        <v>40</v>
      </c>
    </row>
    <row r="8" spans="1:10">
      <c r="F8" s="4" t="s">
        <v>132</v>
      </c>
      <c r="G8" s="4">
        <v>42</v>
      </c>
      <c r="H8" s="4">
        <v>48</v>
      </c>
      <c r="I8" s="4">
        <v>40</v>
      </c>
      <c r="J8" s="4">
        <f t="shared" ref="J8:J36" si="0">I8</f>
        <v>40</v>
      </c>
    </row>
    <row r="9" spans="1:10">
      <c r="F9" s="4" t="s">
        <v>133</v>
      </c>
      <c r="G9" s="4">
        <v>44</v>
      </c>
      <c r="H9" s="4">
        <v>48</v>
      </c>
      <c r="I9" s="4">
        <v>40</v>
      </c>
      <c r="J9" s="4">
        <f t="shared" si="0"/>
        <v>40</v>
      </c>
    </row>
    <row r="10" spans="1:10">
      <c r="F10" s="4" t="s">
        <v>134</v>
      </c>
      <c r="G10" s="4">
        <v>48</v>
      </c>
      <c r="H10" s="4">
        <v>52</v>
      </c>
      <c r="I10" s="4">
        <v>44</v>
      </c>
      <c r="J10" s="4">
        <f t="shared" si="0"/>
        <v>44</v>
      </c>
    </row>
    <row r="11" spans="1:10">
      <c r="F11" s="4" t="s">
        <v>135</v>
      </c>
      <c r="G11" s="4">
        <v>40</v>
      </c>
      <c r="H11" s="4">
        <v>46</v>
      </c>
      <c r="I11" s="4">
        <v>42</v>
      </c>
      <c r="J11" s="4">
        <f t="shared" si="0"/>
        <v>42</v>
      </c>
    </row>
    <row r="12" spans="1:10">
      <c r="F12" s="4" t="s">
        <v>136</v>
      </c>
      <c r="G12" s="4">
        <v>40</v>
      </c>
      <c r="H12" s="4">
        <v>46</v>
      </c>
      <c r="I12" s="4">
        <v>41</v>
      </c>
      <c r="J12" s="4">
        <f t="shared" si="0"/>
        <v>41</v>
      </c>
    </row>
    <row r="13" spans="1:10">
      <c r="F13" s="4" t="s">
        <v>192</v>
      </c>
      <c r="G13" s="4">
        <v>42</v>
      </c>
      <c r="H13" s="4">
        <v>44</v>
      </c>
      <c r="I13" s="4">
        <v>42</v>
      </c>
      <c r="J13" s="4">
        <f t="shared" si="0"/>
        <v>42</v>
      </c>
    </row>
    <row r="14" spans="1:10">
      <c r="F14" s="4" t="s">
        <v>193</v>
      </c>
      <c r="G14" s="4">
        <v>43</v>
      </c>
      <c r="H14" s="4">
        <v>48</v>
      </c>
      <c r="I14" s="4">
        <v>41</v>
      </c>
      <c r="J14" s="4">
        <f t="shared" si="0"/>
        <v>41</v>
      </c>
    </row>
    <row r="15" spans="1:10">
      <c r="F15" s="4" t="s">
        <v>194</v>
      </c>
      <c r="G15" s="4">
        <v>43</v>
      </c>
      <c r="H15" s="4">
        <v>47</v>
      </c>
      <c r="I15" s="4">
        <v>40</v>
      </c>
      <c r="J15" s="4">
        <f t="shared" si="0"/>
        <v>40</v>
      </c>
    </row>
    <row r="16" spans="1:10">
      <c r="E16" s="4">
        <f>E4+1</f>
        <v>1822</v>
      </c>
      <c r="F16" s="4" t="s">
        <v>230</v>
      </c>
      <c r="G16" s="4">
        <v>40</v>
      </c>
      <c r="H16" s="4">
        <v>44</v>
      </c>
      <c r="I16" s="4">
        <v>38</v>
      </c>
      <c r="J16" s="4">
        <f t="shared" si="0"/>
        <v>38</v>
      </c>
    </row>
    <row r="17" spans="5:10">
      <c r="F17" s="4" t="s">
        <v>231</v>
      </c>
      <c r="G17" s="4">
        <v>40</v>
      </c>
      <c r="H17" s="4">
        <v>46</v>
      </c>
      <c r="I17" s="4">
        <v>38</v>
      </c>
      <c r="J17" s="4">
        <f t="shared" si="0"/>
        <v>38</v>
      </c>
    </row>
    <row r="18" spans="5:10">
      <c r="F18" s="4" t="s">
        <v>130</v>
      </c>
      <c r="G18" s="4">
        <v>42</v>
      </c>
      <c r="H18" s="4">
        <v>48</v>
      </c>
      <c r="I18" s="103">
        <f>(I17+I19)/2</f>
        <v>40</v>
      </c>
      <c r="J18" s="4">
        <f t="shared" si="0"/>
        <v>40</v>
      </c>
    </row>
    <row r="19" spans="5:10">
      <c r="F19" s="4" t="s">
        <v>131</v>
      </c>
      <c r="G19" s="4">
        <v>46</v>
      </c>
      <c r="H19" s="4">
        <v>50</v>
      </c>
      <c r="I19" s="4">
        <v>42</v>
      </c>
      <c r="J19" s="4">
        <f t="shared" si="0"/>
        <v>42</v>
      </c>
    </row>
    <row r="20" spans="5:10">
      <c r="F20" s="4" t="s">
        <v>132</v>
      </c>
      <c r="G20" s="4">
        <v>42</v>
      </c>
      <c r="H20" s="4">
        <v>50</v>
      </c>
      <c r="I20" s="103">
        <f>(I19+I21)/2</f>
        <v>43</v>
      </c>
      <c r="J20" s="4">
        <f t="shared" si="0"/>
        <v>43</v>
      </c>
    </row>
    <row r="21" spans="5:10">
      <c r="F21" s="4" t="s">
        <v>133</v>
      </c>
      <c r="G21" s="4">
        <v>46</v>
      </c>
      <c r="H21" s="4">
        <v>52</v>
      </c>
      <c r="I21" s="4">
        <v>44</v>
      </c>
      <c r="J21" s="4">
        <f t="shared" si="0"/>
        <v>44</v>
      </c>
    </row>
    <row r="22" spans="5:10">
      <c r="F22" s="4" t="s">
        <v>134</v>
      </c>
      <c r="G22" s="4">
        <v>45</v>
      </c>
      <c r="H22" s="4">
        <v>51</v>
      </c>
      <c r="I22" s="4">
        <v>44</v>
      </c>
      <c r="J22" s="4">
        <f t="shared" si="0"/>
        <v>44</v>
      </c>
    </row>
    <row r="23" spans="5:10">
      <c r="F23" s="4" t="s">
        <v>135</v>
      </c>
      <c r="G23" s="4">
        <v>46</v>
      </c>
      <c r="H23" s="4">
        <v>51</v>
      </c>
      <c r="I23" s="103">
        <f>(I22+I24)/2</f>
        <v>44</v>
      </c>
      <c r="J23" s="4">
        <f t="shared" si="0"/>
        <v>44</v>
      </c>
    </row>
    <row r="24" spans="5:10">
      <c r="F24" s="4" t="s">
        <v>136</v>
      </c>
      <c r="G24" s="4">
        <v>46</v>
      </c>
      <c r="H24" s="4">
        <v>52</v>
      </c>
      <c r="I24" s="4">
        <v>44</v>
      </c>
      <c r="J24" s="4">
        <f t="shared" si="0"/>
        <v>44</v>
      </c>
    </row>
    <row r="25" spans="5:10">
      <c r="F25" s="4" t="s">
        <v>192</v>
      </c>
      <c r="G25" s="4">
        <v>47</v>
      </c>
      <c r="H25" s="4">
        <v>52</v>
      </c>
      <c r="I25" s="4">
        <v>45</v>
      </c>
      <c r="J25" s="4">
        <f t="shared" si="0"/>
        <v>45</v>
      </c>
    </row>
    <row r="26" spans="5:10">
      <c r="F26" s="4" t="s">
        <v>193</v>
      </c>
      <c r="G26" s="4">
        <v>44</v>
      </c>
      <c r="H26" s="4">
        <v>48</v>
      </c>
      <c r="I26" s="4">
        <v>45</v>
      </c>
      <c r="J26" s="4">
        <f t="shared" si="0"/>
        <v>45</v>
      </c>
    </row>
    <row r="27" spans="5:10">
      <c r="F27" s="4" t="s">
        <v>194</v>
      </c>
      <c r="G27" s="4">
        <v>43</v>
      </c>
      <c r="H27" s="4">
        <v>48</v>
      </c>
      <c r="I27" s="4">
        <v>45</v>
      </c>
      <c r="J27" s="4">
        <f t="shared" si="0"/>
        <v>45</v>
      </c>
    </row>
    <row r="28" spans="5:10">
      <c r="E28" s="4">
        <f>E16+1</f>
        <v>1823</v>
      </c>
      <c r="F28" s="4" t="s">
        <v>96</v>
      </c>
      <c r="G28" s="4">
        <v>47</v>
      </c>
      <c r="H28" s="4">
        <v>51</v>
      </c>
      <c r="I28" s="4">
        <v>45</v>
      </c>
      <c r="J28" s="4">
        <f t="shared" si="0"/>
        <v>45</v>
      </c>
    </row>
    <row r="29" spans="5:10">
      <c r="F29" s="4" t="s">
        <v>97</v>
      </c>
      <c r="G29" s="4">
        <v>47</v>
      </c>
      <c r="H29" s="4">
        <v>52</v>
      </c>
      <c r="I29" s="4">
        <v>45</v>
      </c>
      <c r="J29" s="4">
        <f t="shared" si="0"/>
        <v>45</v>
      </c>
    </row>
    <row r="30" spans="5:10">
      <c r="F30" s="4" t="s">
        <v>130</v>
      </c>
      <c r="G30" s="4">
        <v>48</v>
      </c>
      <c r="H30" s="4">
        <v>55</v>
      </c>
      <c r="I30" s="103">
        <f>I29</f>
        <v>45</v>
      </c>
      <c r="J30" s="4">
        <f t="shared" si="0"/>
        <v>45</v>
      </c>
    </row>
    <row r="31" spans="5:10">
      <c r="F31" s="4" t="s">
        <v>131</v>
      </c>
      <c r="G31" s="4">
        <v>48</v>
      </c>
      <c r="H31" s="4">
        <v>54</v>
      </c>
      <c r="I31" s="103">
        <f>I30</f>
        <v>45</v>
      </c>
      <c r="J31" s="4">
        <f t="shared" si="0"/>
        <v>45</v>
      </c>
    </row>
    <row r="32" spans="5:10">
      <c r="F32" s="4" t="s">
        <v>132</v>
      </c>
      <c r="G32" s="4">
        <v>48</v>
      </c>
      <c r="H32" s="4">
        <v>56</v>
      </c>
      <c r="I32" s="4">
        <v>45</v>
      </c>
      <c r="J32" s="4">
        <f t="shared" si="0"/>
        <v>45</v>
      </c>
    </row>
    <row r="33" spans="6:10">
      <c r="F33" s="4" t="s">
        <v>133</v>
      </c>
      <c r="G33" s="4">
        <v>48</v>
      </c>
      <c r="H33" s="4">
        <v>54</v>
      </c>
      <c r="I33" s="103">
        <f>(I32+I34)/2</f>
        <v>45</v>
      </c>
      <c r="J33" s="4">
        <f t="shared" si="0"/>
        <v>45</v>
      </c>
    </row>
    <row r="34" spans="6:10">
      <c r="F34" s="4" t="s">
        <v>134</v>
      </c>
      <c r="G34" s="4">
        <v>48</v>
      </c>
      <c r="H34" s="4">
        <v>54</v>
      </c>
      <c r="I34" s="4">
        <v>45</v>
      </c>
      <c r="J34" s="4">
        <v>46</v>
      </c>
    </row>
    <row r="35" spans="6:10">
      <c r="F35" s="4" t="s">
        <v>135</v>
      </c>
      <c r="G35" s="4">
        <v>45</v>
      </c>
      <c r="H35" s="4">
        <v>52</v>
      </c>
      <c r="I35" s="103">
        <f>(I34+I36)/2</f>
        <v>45</v>
      </c>
      <c r="J35" s="4">
        <f t="shared" si="0"/>
        <v>45</v>
      </c>
    </row>
    <row r="36" spans="6:10">
      <c r="F36" s="4" t="s">
        <v>136</v>
      </c>
      <c r="G36" s="4">
        <v>45</v>
      </c>
      <c r="H36" s="4">
        <v>50</v>
      </c>
      <c r="I36" s="4">
        <v>45</v>
      </c>
      <c r="J36" s="4">
        <f t="shared" si="0"/>
        <v>45</v>
      </c>
    </row>
    <row r="37" spans="6:10">
      <c r="F37" s="4" t="s">
        <v>192</v>
      </c>
      <c r="G37" s="4">
        <v>40</v>
      </c>
      <c r="H37" s="4">
        <v>48</v>
      </c>
    </row>
    <row r="38" spans="6:10">
      <c r="F38" s="4" t="s">
        <v>193</v>
      </c>
      <c r="G38" s="4">
        <v>38</v>
      </c>
      <c r="H38" s="4">
        <v>50</v>
      </c>
    </row>
    <row r="39" spans="6:10">
      <c r="F39" s="4" t="s">
        <v>194</v>
      </c>
      <c r="G39" s="4">
        <v>38</v>
      </c>
      <c r="H39" s="4">
        <v>50</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U326"/>
  <sheetViews>
    <sheetView workbookViewId="0">
      <pane xSplit="1" ySplit="3" topLeftCell="B4" activePane="bottomRight" state="frozen"/>
      <selection pane="topRight" activeCell="B1" sqref="B1"/>
      <selection pane="bottomLeft" activeCell="A3" sqref="A3"/>
      <selection pane="bottomRight" activeCell="G40" sqref="G40"/>
    </sheetView>
  </sheetViews>
  <sheetFormatPr baseColWidth="10" defaultRowHeight="15"/>
  <cols>
    <col min="1" max="11" width="10.7109375" style="4"/>
    <col min="12" max="12" width="10.7109375" style="5" customWidth="1"/>
    <col min="13" max="13" width="10.7109375" style="14" customWidth="1"/>
    <col min="14" max="16384" width="10.7109375" style="4"/>
  </cols>
  <sheetData>
    <row r="1" spans="1:47">
      <c r="B1" s="33" t="s">
        <v>234</v>
      </c>
      <c r="L1" s="33" t="s">
        <v>235</v>
      </c>
    </row>
    <row r="2" spans="1:47" s="2" customFormat="1" ht="45">
      <c r="B2" s="13" t="s">
        <v>236</v>
      </c>
      <c r="C2" s="13" t="s">
        <v>237</v>
      </c>
      <c r="D2" s="13" t="s">
        <v>273</v>
      </c>
      <c r="E2" s="13" t="s">
        <v>238</v>
      </c>
      <c r="F2" s="13" t="s">
        <v>239</v>
      </c>
      <c r="G2" s="13" t="s">
        <v>240</v>
      </c>
      <c r="H2" s="13" t="s">
        <v>241</v>
      </c>
      <c r="I2" s="13" t="s">
        <v>242</v>
      </c>
      <c r="J2" s="13" t="s">
        <v>290</v>
      </c>
      <c r="K2" s="13"/>
      <c r="L2" s="13"/>
      <c r="M2" s="13"/>
      <c r="N2" s="13" t="s">
        <v>236</v>
      </c>
      <c r="O2" s="13" t="s">
        <v>237</v>
      </c>
      <c r="P2" s="13" t="s">
        <v>273</v>
      </c>
      <c r="Q2" s="13" t="s">
        <v>238</v>
      </c>
      <c r="R2" s="13" t="s">
        <v>239</v>
      </c>
      <c r="S2" s="13" t="s">
        <v>240</v>
      </c>
      <c r="T2" s="13" t="s">
        <v>241</v>
      </c>
      <c r="U2" s="13" t="s">
        <v>242</v>
      </c>
      <c r="V2" s="13" t="s">
        <v>290</v>
      </c>
      <c r="AI2" s="3"/>
      <c r="AJ2" s="3" t="s">
        <v>243</v>
      </c>
      <c r="AK2" s="3" t="s">
        <v>244</v>
      </c>
      <c r="AL2" s="3" t="s">
        <v>195</v>
      </c>
      <c r="AM2" s="3" t="s">
        <v>274</v>
      </c>
      <c r="AN2" s="3" t="s">
        <v>132</v>
      </c>
      <c r="AO2" s="3" t="s">
        <v>275</v>
      </c>
      <c r="AP2" s="3" t="s">
        <v>276</v>
      </c>
      <c r="AQ2" s="3" t="s">
        <v>277</v>
      </c>
      <c r="AR2" s="3" t="s">
        <v>92</v>
      </c>
      <c r="AS2" s="3" t="s">
        <v>93</v>
      </c>
      <c r="AT2" s="3" t="s">
        <v>94</v>
      </c>
      <c r="AU2" s="3" t="s">
        <v>95</v>
      </c>
    </row>
    <row r="3" spans="1:47" s="2" customFormat="1" ht="30">
      <c r="A3" s="4"/>
      <c r="B3" s="13" t="s">
        <v>367</v>
      </c>
      <c r="C3" s="13" t="s">
        <v>245</v>
      </c>
      <c r="D3" s="13" t="s">
        <v>367</v>
      </c>
      <c r="E3" s="13" t="s">
        <v>367</v>
      </c>
      <c r="F3" s="13" t="s">
        <v>367</v>
      </c>
      <c r="G3" s="13" t="s">
        <v>76</v>
      </c>
      <c r="H3" s="13" t="s">
        <v>76</v>
      </c>
      <c r="I3" s="13" t="s">
        <v>77</v>
      </c>
      <c r="J3" s="13" t="s">
        <v>78</v>
      </c>
      <c r="K3" s="14"/>
      <c r="L3" s="13"/>
      <c r="M3" s="13"/>
      <c r="N3" s="13" t="s">
        <v>367</v>
      </c>
      <c r="O3" s="13" t="s">
        <v>245</v>
      </c>
      <c r="P3" s="13" t="s">
        <v>367</v>
      </c>
      <c r="Q3" s="13" t="s">
        <v>367</v>
      </c>
      <c r="R3" s="13" t="s">
        <v>367</v>
      </c>
      <c r="S3" s="13" t="s">
        <v>76</v>
      </c>
      <c r="T3" s="13" t="s">
        <v>76</v>
      </c>
      <c r="U3" s="13" t="s">
        <v>77</v>
      </c>
      <c r="V3" s="13" t="s">
        <v>78</v>
      </c>
      <c r="W3" s="4"/>
      <c r="X3" s="4"/>
      <c r="Y3" s="4"/>
      <c r="Z3" s="4"/>
      <c r="AA3" s="4"/>
      <c r="AB3" s="4"/>
      <c r="AC3" s="4"/>
      <c r="AD3" s="4"/>
      <c r="AE3" s="4"/>
      <c r="AF3" s="4"/>
      <c r="AG3" s="4"/>
      <c r="AI3" s="4">
        <v>1829</v>
      </c>
      <c r="AJ3" s="76">
        <v>9.3000000000000007</v>
      </c>
      <c r="AK3" s="76">
        <v>11.58</v>
      </c>
      <c r="AL3" s="76">
        <v>10.43</v>
      </c>
      <c r="AM3" s="76">
        <v>9.81</v>
      </c>
      <c r="AN3" s="76">
        <v>11</v>
      </c>
      <c r="AO3" s="76">
        <v>12</v>
      </c>
      <c r="AP3" s="76">
        <v>12.5</v>
      </c>
      <c r="AQ3" s="76">
        <v>13.12</v>
      </c>
      <c r="AR3" s="76">
        <v>13.7</v>
      </c>
      <c r="AS3" s="76">
        <v>14.25</v>
      </c>
      <c r="AT3" s="76">
        <v>13.75</v>
      </c>
      <c r="AU3" s="76">
        <v>12.5</v>
      </c>
    </row>
    <row r="4" spans="1:47">
      <c r="A4" s="5">
        <v>1829</v>
      </c>
      <c r="B4" s="76">
        <f>AVERAGE(N4:N15)</f>
        <v>17.611480605109598</v>
      </c>
      <c r="C4" s="76"/>
      <c r="D4" s="76">
        <f>AVERAGE(P4:P15)</f>
        <v>23.330000000000002</v>
      </c>
      <c r="E4" s="76"/>
      <c r="F4" s="76"/>
      <c r="G4" s="76"/>
      <c r="H4" s="76"/>
      <c r="I4" s="76"/>
      <c r="J4" s="76">
        <f>AVERAGE(V4:V15)</f>
        <v>11.994999999999999</v>
      </c>
      <c r="L4" s="5">
        <v>1829</v>
      </c>
      <c r="M4" s="14" t="s">
        <v>79</v>
      </c>
      <c r="N4" s="76">
        <v>13.58</v>
      </c>
      <c r="P4" s="76">
        <v>16.440000000000001</v>
      </c>
      <c r="V4" s="76">
        <v>9.3000000000000007</v>
      </c>
      <c r="X4" s="4">
        <v>1</v>
      </c>
      <c r="AA4" s="11"/>
      <c r="AI4" s="4">
        <v>1830</v>
      </c>
      <c r="AJ4" s="76">
        <v>12.13</v>
      </c>
      <c r="AK4" s="76">
        <v>12.8</v>
      </c>
      <c r="AL4" s="76">
        <v>14.25</v>
      </c>
      <c r="AM4" s="76">
        <v>12.13</v>
      </c>
      <c r="AN4" s="76">
        <v>12.5</v>
      </c>
      <c r="AO4" s="76">
        <v>12.29</v>
      </c>
      <c r="AP4" s="76">
        <v>13.25</v>
      </c>
      <c r="AQ4" s="76">
        <v>12.16</v>
      </c>
      <c r="AR4" s="76">
        <v>12.56</v>
      </c>
      <c r="AS4" s="76">
        <v>11.5</v>
      </c>
      <c r="AT4" s="76">
        <v>11.87</v>
      </c>
      <c r="AU4" s="76">
        <v>12.4</v>
      </c>
    </row>
    <row r="5" spans="1:47">
      <c r="A5" s="5">
        <f>A4+1</f>
        <v>1830</v>
      </c>
      <c r="B5" s="76">
        <f>AVERAGE(N16:N27)</f>
        <v>26.2225</v>
      </c>
      <c r="C5" s="76">
        <f>AVERAGE(O16:O27)</f>
        <v>11.014444444444443</v>
      </c>
      <c r="D5" s="76">
        <f>AVERAGE(P16:P27)</f>
        <v>34.302500000000002</v>
      </c>
      <c r="E5" s="76"/>
      <c r="F5" s="76"/>
      <c r="G5" s="76"/>
      <c r="H5" s="76"/>
      <c r="I5" s="76"/>
      <c r="J5" s="76">
        <f>AVERAGE(V16:V27)</f>
        <v>12.486666666666666</v>
      </c>
      <c r="M5" s="14" t="s">
        <v>229</v>
      </c>
      <c r="N5" s="76">
        <v>14.41</v>
      </c>
      <c r="P5" s="76">
        <v>18.059999999999999</v>
      </c>
      <c r="V5" s="76">
        <v>11.58</v>
      </c>
      <c r="X5" s="4">
        <v>2</v>
      </c>
      <c r="AA5" s="11"/>
      <c r="AI5" s="4">
        <v>1831</v>
      </c>
      <c r="AJ5" s="76">
        <v>13.5</v>
      </c>
      <c r="AK5" s="76">
        <v>13.5</v>
      </c>
      <c r="AL5" s="76">
        <v>13.5</v>
      </c>
      <c r="AM5" s="76">
        <v>12</v>
      </c>
      <c r="AN5" s="76">
        <v>10.75</v>
      </c>
      <c r="AO5" s="76">
        <v>10.5</v>
      </c>
      <c r="AP5" s="76">
        <v>9.6300000000000008</v>
      </c>
      <c r="AQ5" s="76">
        <v>9.5</v>
      </c>
      <c r="AR5" s="76">
        <v>9.5</v>
      </c>
      <c r="AS5" s="76">
        <v>10</v>
      </c>
      <c r="AT5" s="76">
        <v>10.31</v>
      </c>
      <c r="AU5" s="76">
        <v>12.33</v>
      </c>
    </row>
    <row r="6" spans="1:47">
      <c r="A6" s="5">
        <f t="shared" ref="A6" si="0">A5+1</f>
        <v>1831</v>
      </c>
      <c r="B6" s="76">
        <f>AVERAGE(N28:N39)</f>
        <v>21.747499999999999</v>
      </c>
      <c r="C6" s="76">
        <f>AVERAGE(O28:O39)</f>
        <v>8.91</v>
      </c>
      <c r="D6" s="76">
        <f>AVERAGE(P28:P39)</f>
        <v>31.404999999999998</v>
      </c>
      <c r="E6" s="76"/>
      <c r="F6" s="76"/>
      <c r="G6" s="76"/>
      <c r="H6" s="76"/>
      <c r="I6" s="76"/>
      <c r="J6" s="76">
        <f>AVERAGE(V28:V39)</f>
        <v>11.251666666666667</v>
      </c>
      <c r="M6" s="14" t="s">
        <v>130</v>
      </c>
      <c r="N6" s="76">
        <v>13.69</v>
      </c>
      <c r="P6" s="76">
        <v>17.8</v>
      </c>
      <c r="V6" s="76">
        <v>10.43</v>
      </c>
      <c r="X6" s="4">
        <v>3</v>
      </c>
      <c r="AA6" s="76"/>
      <c r="AI6" s="4">
        <v>1832</v>
      </c>
      <c r="AJ6" s="76">
        <v>13.75</v>
      </c>
      <c r="AK6" s="76">
        <v>15.87</v>
      </c>
      <c r="AL6" s="76">
        <v>16.25</v>
      </c>
      <c r="AM6" s="76">
        <v>16</v>
      </c>
      <c r="AN6" s="76">
        <v>16.25</v>
      </c>
      <c r="AO6" s="76">
        <v>15.5</v>
      </c>
      <c r="AP6" s="76">
        <v>15.5</v>
      </c>
      <c r="AQ6" s="76">
        <v>13</v>
      </c>
      <c r="AR6" s="76">
        <v>14.25</v>
      </c>
      <c r="AS6" s="76">
        <v>14.25</v>
      </c>
      <c r="AT6" s="76">
        <v>14.06</v>
      </c>
      <c r="AU6" s="76">
        <v>14.3</v>
      </c>
    </row>
    <row r="7" spans="1:47">
      <c r="A7" s="5">
        <f t="shared" ref="A7" si="1">A6+1</f>
        <v>1832</v>
      </c>
      <c r="B7" s="76">
        <f>AVERAGE(N40:N51)</f>
        <v>20.9925</v>
      </c>
      <c r="C7" s="76">
        <f>AVERAGE(O40:O51)</f>
        <v>7.1075000000000008</v>
      </c>
      <c r="D7" s="76">
        <f>AVERAGE(P40:P51)</f>
        <v>31.145</v>
      </c>
      <c r="E7" s="76"/>
      <c r="F7" s="76"/>
      <c r="G7" s="76"/>
      <c r="H7" s="76"/>
      <c r="I7" s="76"/>
      <c r="J7" s="76">
        <f>AVERAGE(V40:V51)</f>
        <v>14.915000000000001</v>
      </c>
      <c r="M7" s="14" t="s">
        <v>131</v>
      </c>
      <c r="N7" s="76">
        <v>13.06</v>
      </c>
      <c r="P7" s="76">
        <v>19</v>
      </c>
      <c r="V7" s="76">
        <v>9.81</v>
      </c>
      <c r="X7" s="4">
        <v>4</v>
      </c>
      <c r="AA7" s="76"/>
      <c r="AI7" s="4">
        <v>1833</v>
      </c>
      <c r="AJ7" s="76">
        <v>14.5</v>
      </c>
      <c r="AK7" s="76">
        <v>14.5</v>
      </c>
      <c r="AL7" s="76">
        <v>15.18</v>
      </c>
      <c r="AM7" s="76">
        <v>14.25</v>
      </c>
      <c r="AN7" s="76">
        <v>13.87</v>
      </c>
      <c r="AO7" s="76">
        <v>13.18</v>
      </c>
      <c r="AP7" s="76">
        <v>13.5</v>
      </c>
      <c r="AQ7" s="76">
        <v>14</v>
      </c>
      <c r="AR7" s="76">
        <v>15.25</v>
      </c>
      <c r="AS7" s="76">
        <v>13.5</v>
      </c>
      <c r="AT7" s="76">
        <v>14.25</v>
      </c>
      <c r="AU7" s="76">
        <v>14.5</v>
      </c>
    </row>
    <row r="8" spans="1:47">
      <c r="A8" s="5">
        <f t="shared" ref="A8" si="2">A7+1</f>
        <v>1833</v>
      </c>
      <c r="B8" s="76">
        <f>AVERAGE(N52:N63)</f>
        <v>23.205833333333334</v>
      </c>
      <c r="C8" s="76">
        <f>AVERAGE(O52:O63)</f>
        <v>9.3774999999999995</v>
      </c>
      <c r="D8" s="76">
        <f>AVERAGE(P52:P63)</f>
        <v>32.828333333333333</v>
      </c>
      <c r="E8" s="76"/>
      <c r="F8" s="76"/>
      <c r="G8" s="76">
        <f>AVERAGE(S52:S63)</f>
        <v>12.823333333333336</v>
      </c>
      <c r="H8" s="76">
        <f>AVERAGE(T52:T63)</f>
        <v>10.9</v>
      </c>
      <c r="I8" s="76">
        <f>AVERAGE(U52:U63)</f>
        <v>643.76333333333332</v>
      </c>
      <c r="J8" s="76">
        <f>AVERAGE(V52:V63)</f>
        <v>14.206666666666665</v>
      </c>
      <c r="M8" s="14" t="s">
        <v>132</v>
      </c>
      <c r="N8" s="76">
        <v>16</v>
      </c>
      <c r="P8" s="76">
        <v>21.5</v>
      </c>
      <c r="V8" s="76">
        <v>11</v>
      </c>
      <c r="X8" s="4">
        <v>5</v>
      </c>
      <c r="AA8" s="76"/>
      <c r="AI8" s="4">
        <v>1834</v>
      </c>
      <c r="AJ8" s="76">
        <v>14.25</v>
      </c>
      <c r="AK8" s="76">
        <v>14.38</v>
      </c>
      <c r="AL8" s="76">
        <v>14.63</v>
      </c>
      <c r="AM8" s="76">
        <v>14.13</v>
      </c>
      <c r="AN8" s="76">
        <v>13.56</v>
      </c>
      <c r="AO8" s="76">
        <v>12.75</v>
      </c>
      <c r="AP8" s="76">
        <v>15.13</v>
      </c>
      <c r="AQ8" s="76">
        <v>15.79</v>
      </c>
      <c r="AR8" s="76">
        <v>16.309999999999999</v>
      </c>
      <c r="AS8" s="76">
        <v>16.5</v>
      </c>
      <c r="AT8" s="76">
        <v>15.87</v>
      </c>
      <c r="AU8" s="76">
        <v>16.5</v>
      </c>
    </row>
    <row r="9" spans="1:47">
      <c r="A9" s="5">
        <f t="shared" ref="A9" si="3">A8+1</f>
        <v>1834</v>
      </c>
      <c r="B9" s="76">
        <f>AVERAGE(N64:N75)</f>
        <v>23.539166666666663</v>
      </c>
      <c r="C9" s="76">
        <f>AVERAGE(O64:O75)</f>
        <v>12.467500000000001</v>
      </c>
      <c r="D9" s="76">
        <f>AVERAGE(P64:P75)</f>
        <v>33.498333333333335</v>
      </c>
      <c r="E9" s="76"/>
      <c r="F9" s="76"/>
      <c r="G9" s="76">
        <f>AVERAGE(S64:S75)</f>
        <v>10.907500000000001</v>
      </c>
      <c r="H9" s="76">
        <f>AVERAGE(T64:T75)</f>
        <v>12.329999999999998</v>
      </c>
      <c r="I9" s="76">
        <f>AVERAGE(U64:U75)</f>
        <v>633.77083333333337</v>
      </c>
      <c r="J9" s="76">
        <f>AVERAGE(V64:V75)</f>
        <v>14.983333333333334</v>
      </c>
      <c r="M9" s="14" t="s">
        <v>133</v>
      </c>
      <c r="N9" s="76">
        <v>15</v>
      </c>
      <c r="P9" s="76">
        <v>22.5</v>
      </c>
      <c r="V9" s="76">
        <v>12</v>
      </c>
      <c r="X9" s="4">
        <v>6</v>
      </c>
      <c r="AA9" s="76"/>
      <c r="AI9" s="4">
        <v>1835</v>
      </c>
      <c r="AJ9" s="76">
        <v>16.809999999999999</v>
      </c>
      <c r="AK9" s="76">
        <v>17.309999999999999</v>
      </c>
      <c r="AL9" s="76">
        <v>16</v>
      </c>
      <c r="AM9" s="76">
        <v>16.13</v>
      </c>
      <c r="AN9" s="76">
        <v>15</v>
      </c>
      <c r="AO9" s="76">
        <v>14.75</v>
      </c>
      <c r="AP9" s="76">
        <v>15.25</v>
      </c>
      <c r="AQ9" s="76">
        <v>16.13</v>
      </c>
      <c r="AR9" s="76">
        <v>15.75</v>
      </c>
      <c r="AS9" s="76">
        <v>15.19</v>
      </c>
      <c r="AT9" s="76">
        <v>15</v>
      </c>
      <c r="AU9" s="76">
        <v>15.5</v>
      </c>
    </row>
    <row r="10" spans="1:47">
      <c r="A10" s="5">
        <f t="shared" ref="A10" si="4">A9+1</f>
        <v>1835</v>
      </c>
      <c r="B10" s="76">
        <f>AVERAGE(N76:N87)</f>
        <v>22.784166666666668</v>
      </c>
      <c r="C10" s="76">
        <f>AVERAGE(O76:O87)</f>
        <v>11.147500000000001</v>
      </c>
      <c r="D10" s="76">
        <f>AVERAGE(P76:P87)</f>
        <v>32.249166666666667</v>
      </c>
      <c r="E10" s="76"/>
      <c r="F10" s="76"/>
      <c r="G10" s="76">
        <f>AVERAGE(S76:S87)</f>
        <v>11.068333333333333</v>
      </c>
      <c r="H10" s="76">
        <f>AVERAGE(T76:T87)</f>
        <v>10.639166666666668</v>
      </c>
      <c r="I10" s="76">
        <f>AVERAGE(U76:U87)</f>
        <v>603.20833333333337</v>
      </c>
      <c r="J10" s="76">
        <f>AVERAGE(V76:V87)</f>
        <v>15.734999999999999</v>
      </c>
      <c r="M10" s="14" t="s">
        <v>134</v>
      </c>
      <c r="N10" s="105">
        <f>N9+(N9*(RATE(($X$11-$X$9),0,N$9,-N$11)))</f>
        <v>17.667767261315163</v>
      </c>
      <c r="P10" s="76">
        <v>25</v>
      </c>
      <c r="V10" s="76">
        <v>12.5</v>
      </c>
      <c r="X10" s="4">
        <v>7</v>
      </c>
      <c r="AA10" s="11"/>
      <c r="AI10" s="4">
        <v>1836</v>
      </c>
      <c r="AJ10" s="76">
        <v>16.75</v>
      </c>
      <c r="AK10" s="76">
        <v>16.7</v>
      </c>
      <c r="AL10" s="76">
        <v>16.5</v>
      </c>
      <c r="AM10" s="76">
        <v>16.5</v>
      </c>
      <c r="AN10" s="76">
        <v>16.5</v>
      </c>
      <c r="AO10" s="76">
        <v>15.5</v>
      </c>
      <c r="AP10" s="76">
        <v>21.75</v>
      </c>
      <c r="AQ10" s="76">
        <v>25.4</v>
      </c>
      <c r="AR10" s="76">
        <v>23.7</v>
      </c>
      <c r="AS10" s="76">
        <v>22.25</v>
      </c>
      <c r="AT10" s="76">
        <v>19.8</v>
      </c>
      <c r="AU10" s="76">
        <v>17.600000000000001</v>
      </c>
    </row>
    <row r="11" spans="1:47">
      <c r="A11" s="5">
        <f>A10+1</f>
        <v>1836</v>
      </c>
      <c r="B11" s="76">
        <f>AVERAGE(N88:N99)</f>
        <v>22.150000000000006</v>
      </c>
      <c r="C11" s="76">
        <f>AVERAGE(O88:O99)</f>
        <v>10.797499999999999</v>
      </c>
      <c r="D11" s="76">
        <f>AVERAGE(P88:P99)</f>
        <v>30.91416666666667</v>
      </c>
      <c r="E11" s="76"/>
      <c r="F11" s="76"/>
      <c r="G11" s="76">
        <f>AVERAGE(S88:S99)</f>
        <v>11.928333333333335</v>
      </c>
      <c r="H11" s="76">
        <f>AVERAGE(T88:T99)</f>
        <v>10.823333333333332</v>
      </c>
      <c r="I11" s="76">
        <f>AVERAGE(U88:U99)</f>
        <v>341.82500000000005</v>
      </c>
      <c r="J11" s="76">
        <f>AVERAGE(V88:V99)</f>
        <v>19.079166666666666</v>
      </c>
      <c r="M11" s="14" t="s">
        <v>135</v>
      </c>
      <c r="N11" s="76">
        <v>20.81</v>
      </c>
      <c r="P11" s="76">
        <v>26.87</v>
      </c>
      <c r="V11" s="76">
        <v>13.12</v>
      </c>
      <c r="X11" s="4">
        <v>8</v>
      </c>
      <c r="AA11" s="11"/>
      <c r="AI11" s="4">
        <v>1837</v>
      </c>
      <c r="AJ11" s="76">
        <v>13</v>
      </c>
      <c r="AK11" s="76">
        <v>12.38</v>
      </c>
      <c r="AL11" s="76">
        <v>15.25</v>
      </c>
      <c r="AM11" s="76">
        <v>14.8</v>
      </c>
      <c r="AN11" s="76">
        <v>14.8</v>
      </c>
      <c r="AO11" s="76">
        <v>15.13</v>
      </c>
      <c r="AP11" s="76">
        <v>16.25</v>
      </c>
      <c r="AQ11" s="76">
        <v>18.899999999999999</v>
      </c>
      <c r="AR11" s="76">
        <v>17.38</v>
      </c>
      <c r="AS11" s="76">
        <v>15.9</v>
      </c>
      <c r="AT11" s="76">
        <v>18.5</v>
      </c>
      <c r="AU11" s="76">
        <v>18.2</v>
      </c>
    </row>
    <row r="12" spans="1:47">
      <c r="A12" s="5">
        <f>A11+1</f>
        <v>1837</v>
      </c>
      <c r="B12" s="76">
        <f>AVERAGE(N100:N111)</f>
        <v>24.047499999999999</v>
      </c>
      <c r="C12" s="76">
        <f>AVERAGE(O100:O111)</f>
        <v>10.598333333333333</v>
      </c>
      <c r="D12" s="76">
        <f>AVERAGE(P100:P111)</f>
        <v>32.600833333333334</v>
      </c>
      <c r="E12" s="76"/>
      <c r="F12" s="76"/>
      <c r="G12" s="76">
        <f>AVERAGE(S100:S111)</f>
        <v>12.432500000000003</v>
      </c>
      <c r="H12" s="76">
        <f>AVERAGE(T100:T111)</f>
        <v>11.050833333333335</v>
      </c>
      <c r="I12" s="76">
        <f>AVERAGE(U100:U111)</f>
        <v>340.37083333333334</v>
      </c>
      <c r="J12" s="76">
        <f>AVERAGE(V100:V111)</f>
        <v>15.874166666666666</v>
      </c>
      <c r="M12" s="14" t="s">
        <v>136</v>
      </c>
      <c r="N12" s="76">
        <v>21.5</v>
      </c>
      <c r="P12" s="76">
        <v>28</v>
      </c>
      <c r="V12" s="76">
        <v>13.7</v>
      </c>
      <c r="X12" s="4">
        <v>9</v>
      </c>
      <c r="AA12" s="11"/>
      <c r="AI12" s="4">
        <v>1838</v>
      </c>
      <c r="AJ12" s="76">
        <v>17.63</v>
      </c>
      <c r="AK12" s="76">
        <v>15.13</v>
      </c>
      <c r="AL12" s="76">
        <v>15.63</v>
      </c>
      <c r="AM12" s="76">
        <v>15.38</v>
      </c>
      <c r="AN12" s="76">
        <v>13.5</v>
      </c>
      <c r="AO12" s="76">
        <v>13.25</v>
      </c>
      <c r="AP12" s="76">
        <v>13.7</v>
      </c>
      <c r="AQ12" s="76">
        <v>14.5</v>
      </c>
      <c r="AR12" s="76">
        <v>14.25</v>
      </c>
      <c r="AS12" s="76">
        <v>14.75</v>
      </c>
      <c r="AT12" s="76">
        <v>15.5</v>
      </c>
      <c r="AU12" s="76">
        <v>17.2</v>
      </c>
    </row>
    <row r="13" spans="1:47">
      <c r="A13" s="5">
        <f>A12+1</f>
        <v>1838</v>
      </c>
      <c r="B13" s="76">
        <f>AVERAGE(N112:N123)</f>
        <v>23.540833333333335</v>
      </c>
      <c r="C13" s="76">
        <f>AVERAGE(O112:O123)</f>
        <v>10.1225</v>
      </c>
      <c r="D13" s="76">
        <f>AVERAGE(P112:P123)</f>
        <v>32.263333333333335</v>
      </c>
      <c r="E13" s="76"/>
      <c r="F13" s="76"/>
      <c r="G13" s="76">
        <f>AVERAGE(S112:S123)</f>
        <v>12.067500000000001</v>
      </c>
      <c r="H13" s="76">
        <f>AVERAGE(T112:T123)</f>
        <v>9.1033333333333335</v>
      </c>
      <c r="I13" s="76">
        <f>AVERAGE(U112:U123)</f>
        <v>201.59166666666667</v>
      </c>
      <c r="J13" s="76">
        <f>AVERAGE(V112:V123)</f>
        <v>15.035000000000002</v>
      </c>
      <c r="M13" s="14" t="s">
        <v>192</v>
      </c>
      <c r="N13" s="76">
        <v>23.12</v>
      </c>
      <c r="P13" s="76">
        <v>29.31</v>
      </c>
      <c r="V13" s="76">
        <v>14.25</v>
      </c>
      <c r="X13" s="4">
        <v>10</v>
      </c>
      <c r="AA13" s="76"/>
      <c r="AI13" s="4">
        <v>1839</v>
      </c>
      <c r="AJ13" s="76">
        <v>16</v>
      </c>
      <c r="AK13" s="76">
        <v>17.5</v>
      </c>
      <c r="AL13" s="76">
        <v>21.63</v>
      </c>
      <c r="AM13" s="76">
        <v>20</v>
      </c>
      <c r="AN13" s="76">
        <v>18.25</v>
      </c>
      <c r="AO13" s="76">
        <v>17</v>
      </c>
      <c r="AP13" s="76">
        <v>16.88</v>
      </c>
      <c r="AQ13" s="76">
        <v>17.3</v>
      </c>
      <c r="AR13" s="76">
        <v>17</v>
      </c>
      <c r="AS13" s="76">
        <v>18.5</v>
      </c>
      <c r="AT13" s="76">
        <v>19.75</v>
      </c>
      <c r="AU13" s="76">
        <v>19</v>
      </c>
    </row>
    <row r="14" spans="1:47">
      <c r="A14" s="5">
        <f>A13+1</f>
        <v>1839</v>
      </c>
      <c r="B14" s="76">
        <f>AVERAGE(N124:N135)</f>
        <v>30.807500000000001</v>
      </c>
      <c r="C14" s="76">
        <f>AVERAGE(O124:O135)</f>
        <v>12.800833333333335</v>
      </c>
      <c r="D14" s="76">
        <f>AVERAGE(P124:P135)</f>
        <v>38.026666666666664</v>
      </c>
      <c r="E14" s="76"/>
      <c r="F14" s="76"/>
      <c r="G14" s="76">
        <f>AVERAGE(S124:S135)</f>
        <v>16.260000000000002</v>
      </c>
      <c r="H14" s="76">
        <f>AVERAGE(T124:T135)</f>
        <v>12.3775</v>
      </c>
      <c r="I14" s="76">
        <f>AVERAGE(U124:U135)</f>
        <v>259.83333333333331</v>
      </c>
      <c r="J14" s="76">
        <f>AVERAGE(V124:V135)</f>
        <v>18.234166666666667</v>
      </c>
      <c r="M14" s="14" t="s">
        <v>193</v>
      </c>
      <c r="N14" s="76">
        <v>21.75</v>
      </c>
      <c r="P14" s="76">
        <v>27.63</v>
      </c>
      <c r="V14" s="76">
        <v>13.75</v>
      </c>
      <c r="X14" s="4">
        <v>11</v>
      </c>
      <c r="AA14" s="76"/>
      <c r="AI14" s="4">
        <v>1840</v>
      </c>
      <c r="AJ14" s="76">
        <v>20</v>
      </c>
      <c r="AK14" s="76">
        <v>22.13</v>
      </c>
      <c r="AL14" s="76">
        <v>22.3</v>
      </c>
      <c r="AM14" s="76">
        <v>23.63</v>
      </c>
      <c r="AN14" s="76">
        <v>24.5</v>
      </c>
      <c r="AO14" s="76"/>
      <c r="AP14" s="76"/>
      <c r="AQ14" s="76">
        <v>32.5</v>
      </c>
      <c r="AR14" s="76">
        <v>32.5</v>
      </c>
      <c r="AS14" s="76">
        <v>31.5</v>
      </c>
      <c r="AT14" s="76">
        <v>34.75</v>
      </c>
      <c r="AU14" s="76">
        <v>37.5</v>
      </c>
    </row>
    <row r="15" spans="1:47">
      <c r="A15" s="5">
        <f>A14+1</f>
        <v>1840</v>
      </c>
      <c r="B15" s="76">
        <f t="shared" ref="B15:J15" si="5">AVERAGE(N136:N147)</f>
        <v>41.548178258069676</v>
      </c>
      <c r="C15" s="76">
        <f t="shared" si="5"/>
        <v>18.243333333333332</v>
      </c>
      <c r="D15" s="76">
        <f t="shared" si="5"/>
        <v>51.363750000000003</v>
      </c>
      <c r="E15" s="76">
        <f t="shared" si="5"/>
        <v>49.629999999999995</v>
      </c>
      <c r="F15" s="76">
        <f t="shared" si="5"/>
        <v>56.613999999999997</v>
      </c>
      <c r="G15" s="76">
        <f t="shared" si="5"/>
        <v>22.439999999999998</v>
      </c>
      <c r="H15" s="76">
        <f t="shared" si="5"/>
        <v>15.815833333333332</v>
      </c>
      <c r="I15" s="76">
        <f t="shared" si="5"/>
        <v>356.47916666666669</v>
      </c>
      <c r="J15" s="76">
        <f t="shared" si="5"/>
        <v>28.150700004244481</v>
      </c>
      <c r="M15" s="14" t="s">
        <v>194</v>
      </c>
      <c r="N15" s="76">
        <v>20.75</v>
      </c>
      <c r="P15" s="76">
        <v>27.85</v>
      </c>
      <c r="V15" s="76">
        <v>12.5</v>
      </c>
      <c r="X15" s="4">
        <v>12</v>
      </c>
      <c r="AA15" s="76"/>
      <c r="AI15" s="4">
        <v>1841</v>
      </c>
      <c r="AJ15" s="11">
        <v>37.5</v>
      </c>
      <c r="AK15" s="11">
        <v>38.75</v>
      </c>
      <c r="AL15" s="11">
        <v>42.5</v>
      </c>
      <c r="AM15" s="11">
        <v>37.5</v>
      </c>
      <c r="AN15" s="11">
        <v>33.130000000000003</v>
      </c>
      <c r="AO15" s="11">
        <v>29.5</v>
      </c>
      <c r="AP15" s="11">
        <v>32.5</v>
      </c>
      <c r="AQ15" s="11">
        <v>35</v>
      </c>
      <c r="AR15" s="11">
        <v>36.25</v>
      </c>
      <c r="AS15" s="11">
        <v>32.630000000000003</v>
      </c>
      <c r="AT15" s="11">
        <v>28.5</v>
      </c>
      <c r="AU15" s="11">
        <v>28.13</v>
      </c>
    </row>
    <row r="16" spans="1:47">
      <c r="A16" s="5">
        <f t="shared" ref="A16" si="6">A15+1</f>
        <v>1841</v>
      </c>
      <c r="B16" s="76">
        <f>AVERAGE(N148:N159)</f>
        <v>54.971666666666664</v>
      </c>
      <c r="C16" s="76">
        <f>AVERAGE(O148:O159)</f>
        <v>25.135833333333334</v>
      </c>
      <c r="D16" s="104"/>
      <c r="E16" s="76">
        <f t="shared" ref="E16:J16" si="7">AVERAGE(Q148:Q159)</f>
        <v>61.841666666666669</v>
      </c>
      <c r="F16" s="76">
        <f t="shared" si="7"/>
        <v>67.313333333333333</v>
      </c>
      <c r="G16" s="76">
        <f t="shared" si="7"/>
        <v>31.135833333333334</v>
      </c>
      <c r="H16" s="76">
        <f t="shared" si="7"/>
        <v>20.576666666666668</v>
      </c>
      <c r="I16" s="76">
        <f t="shared" si="7"/>
        <v>389.85416666666669</v>
      </c>
      <c r="J16" s="76">
        <f t="shared" si="7"/>
        <v>34.324166666666663</v>
      </c>
      <c r="L16" s="5">
        <f>L4+1</f>
        <v>1830</v>
      </c>
      <c r="M16" s="14" t="s">
        <v>230</v>
      </c>
      <c r="N16" s="76">
        <v>21.12</v>
      </c>
      <c r="P16" s="76">
        <v>28.18</v>
      </c>
      <c r="Q16" s="76"/>
      <c r="V16" s="76">
        <v>12.13</v>
      </c>
      <c r="X16" s="4">
        <v>13</v>
      </c>
      <c r="AI16" s="4">
        <v>1842</v>
      </c>
      <c r="AJ16" s="11">
        <v>22.5</v>
      </c>
      <c r="AK16" s="11">
        <v>20.5</v>
      </c>
      <c r="AL16" s="11">
        <v>20</v>
      </c>
      <c r="AM16" s="11">
        <v>20</v>
      </c>
      <c r="AN16" s="11">
        <v>20</v>
      </c>
      <c r="AO16" s="11">
        <v>20</v>
      </c>
      <c r="AP16" s="11">
        <v>19.88</v>
      </c>
      <c r="AQ16" s="11">
        <v>20</v>
      </c>
      <c r="AR16" s="11">
        <v>20</v>
      </c>
      <c r="AS16" s="11">
        <v>20</v>
      </c>
      <c r="AT16" s="11">
        <v>20</v>
      </c>
      <c r="AU16" s="11">
        <v>21.8</v>
      </c>
    </row>
    <row r="17" spans="1:47">
      <c r="A17" s="5">
        <f>A16+1</f>
        <v>1842</v>
      </c>
      <c r="B17" s="76">
        <f>AVERAGE(N160:N171)</f>
        <v>51.452499999999993</v>
      </c>
      <c r="C17" s="76">
        <f>AVERAGE(O160:O171)</f>
        <v>20.120833333333334</v>
      </c>
      <c r="D17" s="104"/>
      <c r="E17" s="76">
        <f t="shared" ref="E17:J17" si="8">AVERAGE(Q160:Q171)</f>
        <v>56.427500000000009</v>
      </c>
      <c r="F17" s="76">
        <f t="shared" si="8"/>
        <v>60.290833333333332</v>
      </c>
      <c r="G17" s="76">
        <f t="shared" si="8"/>
        <v>31.135833333333334</v>
      </c>
      <c r="H17" s="76">
        <f t="shared" si="8"/>
        <v>21.659166666666668</v>
      </c>
      <c r="I17" s="76">
        <f t="shared" si="8"/>
        <v>303.22916666666669</v>
      </c>
      <c r="J17" s="76">
        <f t="shared" si="8"/>
        <v>20.39</v>
      </c>
      <c r="M17" s="14" t="s">
        <v>231</v>
      </c>
      <c r="N17" s="76">
        <v>23.12</v>
      </c>
      <c r="P17" s="76">
        <v>30.38</v>
      </c>
      <c r="Q17" s="76"/>
      <c r="V17" s="76">
        <v>12.8</v>
      </c>
      <c r="X17" s="4">
        <v>14</v>
      </c>
      <c r="AI17" s="4">
        <v>1843</v>
      </c>
      <c r="AJ17" s="11">
        <v>23</v>
      </c>
      <c r="AK17" s="11">
        <v>23</v>
      </c>
      <c r="AL17" s="11">
        <v>33</v>
      </c>
      <c r="AM17" s="11">
        <v>45</v>
      </c>
      <c r="AN17" s="11">
        <v>48.13</v>
      </c>
      <c r="AO17" s="11">
        <v>51.25</v>
      </c>
      <c r="AP17" s="11">
        <v>52.5</v>
      </c>
      <c r="AQ17" s="11">
        <v>43.5</v>
      </c>
      <c r="AR17" s="11">
        <v>36.25</v>
      </c>
      <c r="AS17" s="11">
        <v>32.5</v>
      </c>
      <c r="AT17" s="11">
        <v>32.67</v>
      </c>
      <c r="AU17" s="11">
        <v>32.5</v>
      </c>
    </row>
    <row r="18" spans="1:47">
      <c r="A18" s="5">
        <f>A17+1</f>
        <v>1843</v>
      </c>
      <c r="B18" s="76">
        <f>AVERAGE(N172:N183)</f>
        <v>52.360833333333339</v>
      </c>
      <c r="C18" s="76">
        <f>AVERAGE(O172:O183)</f>
        <v>18.374166666666667</v>
      </c>
      <c r="D18" s="104"/>
      <c r="E18" s="76">
        <f t="shared" ref="E18:J18" si="9">AVERAGE(Q172:Q183)</f>
        <v>54.420833333333341</v>
      </c>
      <c r="F18" s="76">
        <f t="shared" si="9"/>
        <v>57.919166666666662</v>
      </c>
      <c r="G18" s="76">
        <f t="shared" si="9"/>
        <v>19.765833333333337</v>
      </c>
      <c r="H18" s="76">
        <f t="shared" si="9"/>
        <v>21.75</v>
      </c>
      <c r="I18" s="76">
        <f t="shared" si="9"/>
        <v>236.64583333333334</v>
      </c>
      <c r="J18" s="76">
        <f t="shared" si="9"/>
        <v>37.774999999999999</v>
      </c>
      <c r="M18" s="14" t="s">
        <v>130</v>
      </c>
      <c r="N18" s="76">
        <v>27.55</v>
      </c>
      <c r="P18" s="76">
        <v>35</v>
      </c>
      <c r="Q18" s="76"/>
      <c r="V18" s="76">
        <v>14.25</v>
      </c>
      <c r="X18" s="4">
        <v>15</v>
      </c>
      <c r="AI18" s="4">
        <v>1844</v>
      </c>
      <c r="AJ18" s="11">
        <v>24.5</v>
      </c>
      <c r="AK18" s="11">
        <v>25.25</v>
      </c>
      <c r="AL18" s="76">
        <v>21.5</v>
      </c>
      <c r="AM18" s="76">
        <v>27.3</v>
      </c>
      <c r="AN18" s="76">
        <v>29</v>
      </c>
      <c r="AO18" s="11">
        <v>26</v>
      </c>
      <c r="AP18" s="11">
        <v>22.1</v>
      </c>
      <c r="AQ18" s="11">
        <v>20.5</v>
      </c>
      <c r="AR18" s="11">
        <v>23.63</v>
      </c>
      <c r="AS18" s="11">
        <v>22</v>
      </c>
      <c r="AT18" s="11">
        <v>21.5</v>
      </c>
      <c r="AU18" s="11">
        <v>19.3</v>
      </c>
    </row>
    <row r="19" spans="1:47">
      <c r="A19" s="5">
        <f>A18+1</f>
        <v>1844</v>
      </c>
      <c r="B19" s="76">
        <f>AVERAGE(N184:N195)</f>
        <v>44.75333333333333</v>
      </c>
      <c r="C19" s="76">
        <f>AVERAGE(O184:O195)</f>
        <v>17.059999999999999</v>
      </c>
      <c r="D19" s="104"/>
      <c r="E19" s="76">
        <f t="shared" ref="E19:J19" si="10">AVERAGE(Q184:Q195)</f>
        <v>45.126666666666665</v>
      </c>
      <c r="F19" s="76">
        <f t="shared" si="10"/>
        <v>49.329999999999991</v>
      </c>
      <c r="G19" s="76">
        <f t="shared" si="10"/>
        <v>12.081666666666669</v>
      </c>
      <c r="H19" s="76">
        <f t="shared" si="10"/>
        <v>24.511666666666667</v>
      </c>
      <c r="I19" s="76">
        <f t="shared" si="10"/>
        <v>219.59416666666667</v>
      </c>
      <c r="J19" s="76">
        <f t="shared" si="10"/>
        <v>23.548333333333332</v>
      </c>
      <c r="M19" s="14" t="s">
        <v>131</v>
      </c>
      <c r="N19" s="76">
        <v>31</v>
      </c>
      <c r="O19" s="76">
        <v>13</v>
      </c>
      <c r="P19" s="76">
        <v>42</v>
      </c>
      <c r="V19" s="76">
        <v>12.13</v>
      </c>
      <c r="X19" s="4">
        <v>16</v>
      </c>
      <c r="AI19" s="4">
        <v>1845</v>
      </c>
      <c r="AJ19" s="11">
        <v>19</v>
      </c>
      <c r="AK19" s="11">
        <v>20.5</v>
      </c>
      <c r="AL19" s="76">
        <v>25.5</v>
      </c>
      <c r="AM19" s="76">
        <v>25.5</v>
      </c>
      <c r="AN19" s="76">
        <v>24.38</v>
      </c>
      <c r="AO19" s="11">
        <v>23.5</v>
      </c>
      <c r="AP19" s="11">
        <v>27.5</v>
      </c>
      <c r="AQ19" s="11">
        <v>27</v>
      </c>
      <c r="AR19" s="11">
        <v>26.5</v>
      </c>
      <c r="AS19" s="11">
        <v>27</v>
      </c>
      <c r="AT19" s="11">
        <v>27</v>
      </c>
      <c r="AU19" s="11">
        <v>27</v>
      </c>
    </row>
    <row r="20" spans="1:47">
      <c r="A20" s="5">
        <f>A19+1</f>
        <v>1845</v>
      </c>
      <c r="B20" s="76">
        <f>AVERAGE(N196:N207)</f>
        <v>41.737366906886017</v>
      </c>
      <c r="C20" s="76">
        <f>AVERAGE(O196:O207)</f>
        <v>18.261666666666667</v>
      </c>
      <c r="D20" s="104"/>
      <c r="E20" s="76">
        <f t="shared" ref="E20:I20" si="11">AVERAGE(Q196:Q207)</f>
        <v>39.559999999999995</v>
      </c>
      <c r="F20" s="76">
        <f t="shared" si="11"/>
        <v>44.458333333333336</v>
      </c>
      <c r="G20" s="76">
        <f t="shared" si="11"/>
        <v>10.705833333333333</v>
      </c>
      <c r="H20" s="76">
        <f t="shared" si="11"/>
        <v>23.375000000000004</v>
      </c>
      <c r="I20" s="76">
        <f t="shared" si="11"/>
        <v>182.58</v>
      </c>
      <c r="J20" s="76">
        <f>AVERAGE(V196:V207)</f>
        <v>25.031666666666666</v>
      </c>
      <c r="M20" s="14" t="s">
        <v>132</v>
      </c>
      <c r="N20" s="76">
        <v>30.12</v>
      </c>
      <c r="O20" s="76">
        <v>11.75</v>
      </c>
      <c r="P20" s="76">
        <v>36</v>
      </c>
      <c r="V20" s="76">
        <v>12.5</v>
      </c>
      <c r="X20" s="4">
        <v>17</v>
      </c>
      <c r="AI20" s="4">
        <v>1846</v>
      </c>
      <c r="AJ20" s="11"/>
      <c r="AK20" s="11"/>
      <c r="AL20" s="76"/>
      <c r="AM20" s="76"/>
      <c r="AN20" s="76"/>
      <c r="AO20" s="76"/>
      <c r="AP20" s="11"/>
      <c r="AQ20" s="11"/>
      <c r="AR20" s="11"/>
      <c r="AS20" s="76"/>
      <c r="AT20" s="76"/>
      <c r="AU20" s="76"/>
    </row>
    <row r="21" spans="1:47">
      <c r="A21" s="5">
        <f>A20+1</f>
        <v>1846</v>
      </c>
      <c r="B21" s="76">
        <f>AVERAGE(N208:N219)</f>
        <v>42.10046694038931</v>
      </c>
      <c r="C21" s="76">
        <f>AVERAGE(O208:O219)</f>
        <v>23.377499999999998</v>
      </c>
      <c r="D21" s="104"/>
      <c r="E21" s="76">
        <f t="shared" ref="E21:J21" si="12">AVERAGE(Q208:Q219)</f>
        <v>41.284166666666664</v>
      </c>
      <c r="F21" s="76">
        <f t="shared" si="12"/>
        <v>47.694999999999993</v>
      </c>
      <c r="G21" s="76">
        <f t="shared" si="12"/>
        <v>16.436666666666667</v>
      </c>
      <c r="H21" s="76">
        <f t="shared" si="12"/>
        <v>21.050833333333333</v>
      </c>
      <c r="I21" s="76">
        <f t="shared" si="12"/>
        <v>134.0625</v>
      </c>
      <c r="J21" s="87">
        <f t="shared" si="12"/>
        <v>28.695284215190316</v>
      </c>
      <c r="M21" s="14" t="s">
        <v>133</v>
      </c>
      <c r="N21" s="76">
        <v>28.9</v>
      </c>
      <c r="O21" s="76">
        <v>11.65</v>
      </c>
      <c r="P21" s="76">
        <v>35.6</v>
      </c>
      <c r="V21" s="76">
        <v>12.29</v>
      </c>
      <c r="X21" s="4">
        <v>18</v>
      </c>
      <c r="AI21" s="4">
        <v>1847</v>
      </c>
      <c r="AJ21" s="11"/>
      <c r="AK21" s="11">
        <v>30.75</v>
      </c>
      <c r="AL21" s="76">
        <v>30.75</v>
      </c>
      <c r="AM21" s="76">
        <v>29.13</v>
      </c>
      <c r="AN21" s="76">
        <v>29.88</v>
      </c>
      <c r="AO21" s="11">
        <v>31.38</v>
      </c>
      <c r="AP21" s="11">
        <v>31.25</v>
      </c>
      <c r="AQ21" s="11">
        <v>38.6</v>
      </c>
      <c r="AR21" s="11">
        <v>45.5</v>
      </c>
      <c r="AS21" s="11">
        <v>45.5</v>
      </c>
      <c r="AT21" s="11">
        <v>48.75</v>
      </c>
      <c r="AU21" s="11">
        <v>45.5</v>
      </c>
    </row>
    <row r="22" spans="1:47">
      <c r="A22" s="5">
        <f t="shared" ref="A22" si="13">A21+1</f>
        <v>1847</v>
      </c>
      <c r="B22" s="76">
        <f>AVERAGE(N220:N231)</f>
        <v>42.608333333333334</v>
      </c>
      <c r="C22" s="76">
        <f>AVERAGE(O220:O231)</f>
        <v>22.835833333333337</v>
      </c>
      <c r="D22" s="104"/>
      <c r="E22" s="76">
        <f t="shared" ref="E22:J22" si="14">AVERAGE(Q220:Q231)</f>
        <v>40.264166666666661</v>
      </c>
      <c r="F22" s="76">
        <f t="shared" si="14"/>
        <v>45.205000000000005</v>
      </c>
      <c r="G22" s="76">
        <f t="shared" si="14"/>
        <v>22.608333333333334</v>
      </c>
      <c r="H22" s="76">
        <f t="shared" si="14"/>
        <v>19.149166666666666</v>
      </c>
      <c r="I22" s="76">
        <f t="shared" si="14"/>
        <v>225</v>
      </c>
      <c r="J22" s="76">
        <f t="shared" si="14"/>
        <v>36.454639189992839</v>
      </c>
      <c r="M22" s="14" t="s">
        <v>134</v>
      </c>
      <c r="N22" s="76">
        <v>27.94</v>
      </c>
      <c r="O22" s="76">
        <v>11.93</v>
      </c>
      <c r="P22" s="76">
        <v>36.619999999999997</v>
      </c>
      <c r="V22" s="76">
        <v>13.25</v>
      </c>
      <c r="X22" s="4">
        <v>19</v>
      </c>
      <c r="AI22" s="4">
        <v>1848</v>
      </c>
      <c r="AJ22" s="11">
        <v>45.5</v>
      </c>
      <c r="AK22" s="11">
        <v>45.5</v>
      </c>
      <c r="AL22" s="76">
        <v>46.25</v>
      </c>
      <c r="AM22" s="76">
        <v>45.5</v>
      </c>
      <c r="AN22" s="76">
        <v>33.5</v>
      </c>
      <c r="AO22" s="76"/>
      <c r="AP22" s="11">
        <v>40</v>
      </c>
      <c r="AQ22" s="11">
        <v>40</v>
      </c>
      <c r="AR22" s="11">
        <v>40</v>
      </c>
      <c r="AS22" s="11">
        <v>40</v>
      </c>
      <c r="AT22" s="11">
        <v>40</v>
      </c>
      <c r="AU22" s="11">
        <v>40</v>
      </c>
    </row>
    <row r="23" spans="1:47">
      <c r="A23" s="5">
        <f>A22+1</f>
        <v>1848</v>
      </c>
      <c r="B23" s="76">
        <f>AVERAGE(N232:N243)</f>
        <v>36.328333333333333</v>
      </c>
      <c r="C23" s="76">
        <f>AVERAGE(O232:O243)</f>
        <v>19.306666666666665</v>
      </c>
      <c r="D23" s="104"/>
      <c r="E23" s="76">
        <f>AVERAGE(Q232:Q243)</f>
        <v>39.624999999999993</v>
      </c>
      <c r="F23" s="76">
        <f>AVERAGE(R232:R243)</f>
        <v>42.829166666666673</v>
      </c>
      <c r="G23" s="76">
        <f>AVERAGE(S232:S243)</f>
        <v>23.102499999999996</v>
      </c>
      <c r="H23" s="76">
        <f>AVERAGE(T232:T243)</f>
        <v>24.295833333333334</v>
      </c>
      <c r="I23" s="76"/>
      <c r="J23" s="76">
        <f>AVERAGE(V232:V243)</f>
        <v>41.071334202955441</v>
      </c>
      <c r="M23" s="14" t="s">
        <v>135</v>
      </c>
      <c r="N23" s="76">
        <v>26.62</v>
      </c>
      <c r="O23" s="76">
        <v>10.3</v>
      </c>
      <c r="P23" s="76">
        <v>36.700000000000003</v>
      </c>
      <c r="V23" s="76">
        <v>12.16</v>
      </c>
      <c r="X23" s="4">
        <v>20</v>
      </c>
      <c r="AI23" s="4">
        <v>1849</v>
      </c>
      <c r="AJ23" s="11">
        <v>40</v>
      </c>
      <c r="AK23" s="11">
        <v>40</v>
      </c>
      <c r="AL23" s="76">
        <v>39</v>
      </c>
      <c r="AM23" s="76">
        <v>38</v>
      </c>
      <c r="AN23" s="76">
        <v>38</v>
      </c>
      <c r="AO23" s="11">
        <v>38</v>
      </c>
      <c r="AP23" s="11">
        <v>38.619999999999997</v>
      </c>
      <c r="AQ23" s="11">
        <v>38.619999999999997</v>
      </c>
      <c r="AR23" s="11">
        <v>38.619999999999997</v>
      </c>
      <c r="AS23" s="11">
        <v>38.619999999999997</v>
      </c>
      <c r="AT23" s="11">
        <v>38.619999999999997</v>
      </c>
      <c r="AU23" s="11">
        <v>38.619999999999997</v>
      </c>
    </row>
    <row r="24" spans="1:47">
      <c r="A24" s="5">
        <f>A23+1</f>
        <v>1849</v>
      </c>
      <c r="B24" s="76">
        <f>AVERAGE(N244:N255)</f>
        <v>33.55916666666667</v>
      </c>
      <c r="C24" s="76">
        <f>AVERAGE(O244:O255)</f>
        <v>16.100000000000001</v>
      </c>
      <c r="D24" s="104"/>
      <c r="E24" s="76">
        <f>AVERAGE(Q244:Q255)</f>
        <v>43.01583333333334</v>
      </c>
      <c r="F24" s="76">
        <f>AVERAGE(R244:R255)</f>
        <v>44.447499999999998</v>
      </c>
      <c r="G24" s="76">
        <f>AVERAGE(S244:S255)</f>
        <v>21.881666666666664</v>
      </c>
      <c r="H24" s="76">
        <f>AVERAGE(T244:T255)</f>
        <v>29.635000000000002</v>
      </c>
      <c r="I24" s="76"/>
      <c r="J24" s="76">
        <f>AVERAGE(V244:V255)</f>
        <v>38.726666666666667</v>
      </c>
      <c r="M24" s="14" t="s">
        <v>136</v>
      </c>
      <c r="N24" s="76">
        <v>26.35</v>
      </c>
      <c r="O24" s="76">
        <v>10.5</v>
      </c>
      <c r="P24" s="76">
        <v>34.380000000000003</v>
      </c>
      <c r="V24" s="76">
        <v>12.56</v>
      </c>
      <c r="X24" s="4">
        <v>21</v>
      </c>
      <c r="AI24" s="4">
        <v>1850</v>
      </c>
      <c r="AJ24" s="76"/>
      <c r="AK24" s="76"/>
      <c r="AL24" s="76"/>
      <c r="AM24" s="76"/>
      <c r="AN24" s="76"/>
      <c r="AO24" s="76"/>
      <c r="AP24" s="76"/>
      <c r="AQ24" s="76"/>
      <c r="AR24" s="76"/>
      <c r="AS24" s="76"/>
      <c r="AT24" s="76"/>
      <c r="AU24" s="11">
        <v>40</v>
      </c>
    </row>
    <row r="25" spans="1:47">
      <c r="A25" s="5">
        <f>A24+1</f>
        <v>1850</v>
      </c>
      <c r="B25" s="76">
        <f>AVERAGE(N256:N267)</f>
        <v>37.004166666666663</v>
      </c>
      <c r="C25" s="76">
        <f>AVERAGE(O256:O267)</f>
        <v>12.040000000000001</v>
      </c>
      <c r="D25" s="104"/>
      <c r="E25" s="76">
        <f>AVERAGE(Q256:Q267)</f>
        <v>44.310833333333335</v>
      </c>
      <c r="F25" s="76">
        <f>AVERAGE(R256:R267)</f>
        <v>46.426666666666669</v>
      </c>
      <c r="G25" s="76">
        <f>AVERAGE(S256:S267)</f>
        <v>18.309166666666666</v>
      </c>
      <c r="H25" s="76">
        <f>AVERAGE(T256:T267)</f>
        <v>34.12083333333333</v>
      </c>
      <c r="I25" s="76"/>
      <c r="J25" s="76">
        <f>AVERAGE(V256:V267)</f>
        <v>39.363490566160735</v>
      </c>
      <c r="M25" s="14" t="s">
        <v>192</v>
      </c>
      <c r="N25" s="76">
        <v>25.19</v>
      </c>
      <c r="O25" s="76">
        <v>10.5</v>
      </c>
      <c r="P25" s="76">
        <v>32.17</v>
      </c>
      <c r="V25" s="76">
        <v>11.5</v>
      </c>
      <c r="X25" s="4">
        <v>22</v>
      </c>
      <c r="AI25" s="4">
        <v>1851</v>
      </c>
      <c r="AJ25" s="76">
        <v>39</v>
      </c>
      <c r="AK25" s="11">
        <v>34.25</v>
      </c>
      <c r="AL25" s="76">
        <v>32.5</v>
      </c>
      <c r="AM25" s="76">
        <v>31.75</v>
      </c>
      <c r="AN25" s="76">
        <v>31.25</v>
      </c>
      <c r="AO25" s="76">
        <v>31.5</v>
      </c>
      <c r="AP25" s="11">
        <v>31</v>
      </c>
      <c r="AQ25" s="11">
        <v>32</v>
      </c>
      <c r="AR25" s="11">
        <v>34.75</v>
      </c>
      <c r="AS25" s="11">
        <v>35.299999999999997</v>
      </c>
      <c r="AT25" s="11">
        <v>33.75</v>
      </c>
      <c r="AU25" s="11">
        <v>30.8</v>
      </c>
    </row>
    <row r="26" spans="1:47">
      <c r="A26" s="5">
        <f>A25+1</f>
        <v>1851</v>
      </c>
      <c r="B26" s="76">
        <f>AVERAGE(N268:N279)</f>
        <v>44.974999999999994</v>
      </c>
      <c r="C26" s="76">
        <f>AVERAGE(O268:O279)</f>
        <v>12.62</v>
      </c>
      <c r="D26" s="104"/>
      <c r="E26" s="76">
        <f>AVERAGE(Q268:Q279)</f>
        <v>57.235000000000007</v>
      </c>
      <c r="F26" s="76">
        <f>AVERAGE(R268:R279)</f>
        <v>60.368333333333339</v>
      </c>
      <c r="G26" s="76">
        <f>AVERAGE(S268:S279)</f>
        <v>23.7925</v>
      </c>
      <c r="H26" s="76">
        <f>AVERAGE(T268:T279)</f>
        <v>37.986666666666665</v>
      </c>
      <c r="I26" s="76"/>
      <c r="J26" s="76">
        <f>AVERAGE(V268:V279)</f>
        <v>33.154166666666669</v>
      </c>
      <c r="L26" s="6"/>
      <c r="M26" s="14" t="s">
        <v>193</v>
      </c>
      <c r="N26" s="76">
        <v>23.56</v>
      </c>
      <c r="O26" s="76">
        <v>9.75</v>
      </c>
      <c r="P26" s="76">
        <v>33.1</v>
      </c>
      <c r="V26" s="76">
        <v>11.87</v>
      </c>
      <c r="X26" s="4">
        <v>23</v>
      </c>
      <c r="AI26" s="4">
        <v>1852</v>
      </c>
      <c r="AJ26" s="11">
        <v>29.5</v>
      </c>
      <c r="AK26" s="11">
        <v>29.5</v>
      </c>
      <c r="AL26" s="76">
        <v>32.5</v>
      </c>
      <c r="AM26" s="76">
        <v>34.5</v>
      </c>
      <c r="AN26" s="76">
        <v>36.630000000000003</v>
      </c>
      <c r="AO26" s="76">
        <v>38.5</v>
      </c>
      <c r="AP26" s="11">
        <v>43.5</v>
      </c>
      <c r="AQ26" s="11">
        <v>45.5</v>
      </c>
      <c r="AR26" s="11">
        <v>47</v>
      </c>
      <c r="AS26" s="11">
        <v>46.67</v>
      </c>
      <c r="AT26" s="11">
        <v>45.75</v>
      </c>
      <c r="AU26" s="11">
        <v>49</v>
      </c>
    </row>
    <row r="27" spans="1:47">
      <c r="A27" s="5">
        <v>1852</v>
      </c>
      <c r="G27" s="76">
        <f>AVERAGE(S280:S291)</f>
        <v>23.655000000000001</v>
      </c>
      <c r="H27" s="76">
        <f>AVERAGE(T280:T291)</f>
        <v>32.436363636363637</v>
      </c>
      <c r="I27" s="76"/>
      <c r="J27" s="76">
        <f>AVERAGE(V280:V291)</f>
        <v>39.87916666666667</v>
      </c>
      <c r="M27" s="14" t="s">
        <v>194</v>
      </c>
      <c r="N27" s="76">
        <v>23.2</v>
      </c>
      <c r="O27" s="76">
        <v>9.75</v>
      </c>
      <c r="P27" s="76">
        <v>31.5</v>
      </c>
      <c r="V27" s="76">
        <v>12.4</v>
      </c>
      <c r="X27" s="4">
        <v>24</v>
      </c>
    </row>
    <row r="28" spans="1:47">
      <c r="L28" s="5">
        <f t="shared" ref="L28" si="15">L16+1</f>
        <v>1831</v>
      </c>
      <c r="M28" s="14" t="s">
        <v>96</v>
      </c>
      <c r="N28" s="76">
        <v>23.1</v>
      </c>
      <c r="O28" s="76">
        <v>9.81</v>
      </c>
      <c r="P28" s="76">
        <v>30.75</v>
      </c>
      <c r="V28" s="76">
        <v>13.5</v>
      </c>
      <c r="X28" s="4">
        <v>25</v>
      </c>
    </row>
    <row r="29" spans="1:47">
      <c r="M29" s="14" t="s">
        <v>97</v>
      </c>
      <c r="N29" s="76">
        <v>26</v>
      </c>
      <c r="O29" s="76">
        <v>10.25</v>
      </c>
      <c r="P29" s="76">
        <v>35.75</v>
      </c>
      <c r="V29" s="76">
        <v>13.5</v>
      </c>
      <c r="X29" s="4">
        <v>26</v>
      </c>
    </row>
    <row r="30" spans="1:47">
      <c r="M30" s="14" t="s">
        <v>130</v>
      </c>
      <c r="N30" s="76">
        <v>25.25</v>
      </c>
      <c r="O30" s="76">
        <v>11</v>
      </c>
      <c r="P30" s="76">
        <v>36</v>
      </c>
      <c r="Q30" s="7"/>
      <c r="R30" s="7"/>
      <c r="S30" s="7"/>
      <c r="T30" s="7"/>
      <c r="U30" s="7"/>
      <c r="V30" s="76">
        <v>13.5</v>
      </c>
      <c r="X30" s="4">
        <v>27</v>
      </c>
    </row>
    <row r="31" spans="1:47">
      <c r="M31" s="14" t="s">
        <v>131</v>
      </c>
      <c r="N31" s="76">
        <v>24.69</v>
      </c>
      <c r="O31" s="76">
        <v>10.93</v>
      </c>
      <c r="P31" s="76">
        <v>35.25</v>
      </c>
      <c r="Q31" s="7"/>
      <c r="R31" s="7"/>
      <c r="S31" s="7"/>
      <c r="T31" s="7"/>
      <c r="U31" s="7"/>
      <c r="V31" s="76">
        <v>12</v>
      </c>
      <c r="X31" s="4">
        <v>28</v>
      </c>
    </row>
    <row r="32" spans="1:47">
      <c r="M32" s="14" t="s">
        <v>132</v>
      </c>
      <c r="N32" s="76">
        <v>24.35</v>
      </c>
      <c r="O32" s="76">
        <v>9.6</v>
      </c>
      <c r="P32" s="76">
        <v>33.85</v>
      </c>
      <c r="Q32" s="7"/>
      <c r="R32" s="7"/>
      <c r="S32" s="7"/>
      <c r="T32" s="7"/>
      <c r="U32" s="7"/>
      <c r="V32" s="76">
        <v>10.75</v>
      </c>
      <c r="X32" s="4">
        <v>29</v>
      </c>
    </row>
    <row r="33" spans="12:24">
      <c r="M33" s="14" t="s">
        <v>133</v>
      </c>
      <c r="N33" s="76">
        <v>21.25</v>
      </c>
      <c r="O33" s="76">
        <v>9.15</v>
      </c>
      <c r="P33" s="76">
        <v>30.31</v>
      </c>
      <c r="Q33" s="7"/>
      <c r="R33" s="7"/>
      <c r="S33" s="7"/>
      <c r="T33" s="7"/>
      <c r="U33" s="7"/>
      <c r="V33" s="76">
        <v>10.5</v>
      </c>
      <c r="X33" s="4">
        <v>30</v>
      </c>
    </row>
    <row r="34" spans="12:24">
      <c r="M34" s="14" t="s">
        <v>134</v>
      </c>
      <c r="N34" s="76">
        <v>19.809999999999999</v>
      </c>
      <c r="O34" s="76">
        <v>8.65</v>
      </c>
      <c r="P34" s="76">
        <v>31.12</v>
      </c>
      <c r="Q34" s="7"/>
      <c r="R34" s="7"/>
      <c r="S34" s="7"/>
      <c r="T34" s="7"/>
      <c r="U34" s="7"/>
      <c r="V34" s="76">
        <v>9.6300000000000008</v>
      </c>
      <c r="X34" s="4">
        <v>31</v>
      </c>
    </row>
    <row r="35" spans="12:24">
      <c r="M35" s="14" t="s">
        <v>135</v>
      </c>
      <c r="N35" s="76">
        <v>18.7</v>
      </c>
      <c r="O35" s="76">
        <v>7.94</v>
      </c>
      <c r="P35" s="76">
        <v>28.5</v>
      </c>
      <c r="Q35" s="7"/>
      <c r="R35" s="7"/>
      <c r="S35" s="7"/>
      <c r="T35" s="7"/>
      <c r="U35" s="7"/>
      <c r="V35" s="76">
        <v>9.5</v>
      </c>
      <c r="X35" s="4">
        <v>32</v>
      </c>
    </row>
    <row r="36" spans="12:24">
      <c r="M36" s="14" t="s">
        <v>136</v>
      </c>
      <c r="N36" s="76">
        <v>18.5</v>
      </c>
      <c r="O36" s="76">
        <v>7.37</v>
      </c>
      <c r="P36" s="76">
        <v>27.06</v>
      </c>
      <c r="Q36" s="7"/>
      <c r="R36" s="7"/>
      <c r="S36" s="7"/>
      <c r="T36" s="7"/>
      <c r="U36" s="7"/>
      <c r="V36" s="76">
        <v>9.5</v>
      </c>
      <c r="X36" s="4">
        <v>33</v>
      </c>
    </row>
    <row r="37" spans="12:24">
      <c r="M37" s="14" t="s">
        <v>192</v>
      </c>
      <c r="N37" s="76">
        <v>18.37</v>
      </c>
      <c r="O37" s="76">
        <v>7.5</v>
      </c>
      <c r="P37" s="76">
        <v>27.87</v>
      </c>
      <c r="Q37" s="7"/>
      <c r="R37" s="7"/>
      <c r="S37" s="7"/>
      <c r="T37" s="7"/>
      <c r="U37" s="7"/>
      <c r="V37" s="76">
        <v>10</v>
      </c>
      <c r="X37" s="4">
        <v>34</v>
      </c>
    </row>
    <row r="38" spans="12:24">
      <c r="L38" s="6"/>
      <c r="M38" s="14" t="s">
        <v>193</v>
      </c>
      <c r="N38" s="76">
        <v>19.2</v>
      </c>
      <c r="O38" s="76">
        <v>7.47</v>
      </c>
      <c r="P38" s="76">
        <v>29.4</v>
      </c>
      <c r="Q38" s="7"/>
      <c r="R38" s="7"/>
      <c r="S38" s="7"/>
      <c r="T38" s="7"/>
      <c r="U38" s="7"/>
      <c r="V38" s="76">
        <v>10.31</v>
      </c>
      <c r="X38" s="4">
        <v>35</v>
      </c>
    </row>
    <row r="39" spans="12:24">
      <c r="M39" s="14" t="s">
        <v>194</v>
      </c>
      <c r="N39" s="76">
        <v>21.75</v>
      </c>
      <c r="O39" s="76">
        <v>7.25</v>
      </c>
      <c r="P39" s="76">
        <v>31</v>
      </c>
      <c r="Q39" s="7"/>
      <c r="R39" s="7"/>
      <c r="S39" s="7"/>
      <c r="T39" s="7"/>
      <c r="U39" s="7"/>
      <c r="V39" s="76">
        <v>12.33</v>
      </c>
      <c r="X39" s="4">
        <v>36</v>
      </c>
    </row>
    <row r="40" spans="12:24">
      <c r="L40" s="5">
        <f t="shared" ref="L40" si="16">L28+1</f>
        <v>1832</v>
      </c>
      <c r="M40" s="14" t="s">
        <v>96</v>
      </c>
      <c r="N40" s="76">
        <v>20.95</v>
      </c>
      <c r="O40" s="76">
        <v>7.2</v>
      </c>
      <c r="P40" s="76">
        <v>30.8</v>
      </c>
      <c r="Q40" s="7"/>
      <c r="R40" s="7"/>
      <c r="S40" s="7"/>
      <c r="T40" s="7"/>
      <c r="U40" s="7"/>
      <c r="V40" s="76">
        <v>13.75</v>
      </c>
      <c r="X40" s="4">
        <v>37</v>
      </c>
    </row>
    <row r="41" spans="12:24">
      <c r="M41" s="14" t="s">
        <v>97</v>
      </c>
      <c r="N41" s="76">
        <v>19.059999999999999</v>
      </c>
      <c r="O41" s="76">
        <v>7.16</v>
      </c>
      <c r="P41" s="76">
        <v>30.87</v>
      </c>
      <c r="Q41" s="7"/>
      <c r="R41" s="7"/>
      <c r="S41" s="7"/>
      <c r="T41" s="7"/>
      <c r="U41" s="7"/>
      <c r="V41" s="76">
        <v>15.87</v>
      </c>
      <c r="X41" s="4">
        <v>38</v>
      </c>
    </row>
    <row r="42" spans="12:24">
      <c r="M42" s="14" t="s">
        <v>130</v>
      </c>
      <c r="N42" s="76">
        <v>20.62</v>
      </c>
      <c r="O42" s="76">
        <v>7.25</v>
      </c>
      <c r="P42" s="76">
        <v>31.62</v>
      </c>
      <c r="Q42" s="7"/>
      <c r="R42" s="7"/>
      <c r="S42" s="7"/>
      <c r="T42" s="7"/>
      <c r="U42" s="7"/>
      <c r="V42" s="76">
        <v>16.25</v>
      </c>
      <c r="X42" s="4">
        <v>39</v>
      </c>
    </row>
    <row r="43" spans="12:24">
      <c r="M43" s="14" t="s">
        <v>131</v>
      </c>
      <c r="N43" s="76">
        <v>21.7</v>
      </c>
      <c r="O43" s="76">
        <v>7.25</v>
      </c>
      <c r="P43" s="76">
        <v>31.8</v>
      </c>
      <c r="Q43" s="7"/>
      <c r="R43" s="7"/>
      <c r="S43" s="7"/>
      <c r="T43" s="7"/>
      <c r="U43" s="7"/>
      <c r="V43" s="76">
        <v>16</v>
      </c>
      <c r="X43" s="4">
        <v>40</v>
      </c>
    </row>
    <row r="44" spans="12:24">
      <c r="M44" s="14" t="s">
        <v>132</v>
      </c>
      <c r="N44" s="76">
        <v>23.1</v>
      </c>
      <c r="O44" s="76">
        <v>7.31</v>
      </c>
      <c r="P44" s="76">
        <v>32.25</v>
      </c>
      <c r="Q44" s="7"/>
      <c r="R44" s="7"/>
      <c r="S44" s="7"/>
      <c r="T44" s="7"/>
      <c r="U44" s="7"/>
      <c r="V44" s="76">
        <v>16.25</v>
      </c>
      <c r="X44" s="4">
        <v>41</v>
      </c>
    </row>
    <row r="45" spans="12:24">
      <c r="M45" s="14" t="s">
        <v>133</v>
      </c>
      <c r="N45" s="76">
        <v>22.5</v>
      </c>
      <c r="O45" s="76">
        <v>6.87</v>
      </c>
      <c r="P45" s="76">
        <v>32.5</v>
      </c>
      <c r="Q45" s="7"/>
      <c r="R45" s="7"/>
      <c r="S45" s="7"/>
      <c r="T45" s="7"/>
      <c r="U45" s="7"/>
      <c r="V45" s="76">
        <v>15.5</v>
      </c>
      <c r="X45" s="4">
        <v>42</v>
      </c>
    </row>
    <row r="46" spans="12:24">
      <c r="M46" s="14" t="s">
        <v>134</v>
      </c>
      <c r="N46" s="76">
        <v>22.2</v>
      </c>
      <c r="O46" s="76">
        <v>7.02</v>
      </c>
      <c r="P46" s="76">
        <v>32.1</v>
      </c>
      <c r="Q46" s="7"/>
      <c r="R46" s="7"/>
      <c r="S46" s="7"/>
      <c r="T46" s="7"/>
      <c r="U46" s="7"/>
      <c r="V46" s="76">
        <v>15.5</v>
      </c>
      <c r="X46" s="4">
        <v>43</v>
      </c>
    </row>
    <row r="47" spans="12:24">
      <c r="M47" s="14" t="s">
        <v>135</v>
      </c>
      <c r="N47" s="76">
        <v>21.62</v>
      </c>
      <c r="O47" s="76">
        <v>7</v>
      </c>
      <c r="P47" s="76">
        <v>31.31</v>
      </c>
      <c r="Q47" s="7"/>
      <c r="R47" s="7"/>
      <c r="S47" s="7"/>
      <c r="T47" s="7"/>
      <c r="U47" s="7"/>
      <c r="V47" s="76">
        <v>13</v>
      </c>
      <c r="X47" s="4">
        <v>44</v>
      </c>
    </row>
    <row r="48" spans="12:24">
      <c r="M48" s="14" t="s">
        <v>136</v>
      </c>
      <c r="N48" s="76">
        <v>20.56</v>
      </c>
      <c r="O48" s="76">
        <v>7</v>
      </c>
      <c r="P48" s="76">
        <v>31.37</v>
      </c>
      <c r="Q48" s="7"/>
      <c r="R48" s="7"/>
      <c r="S48" s="7"/>
      <c r="T48" s="7"/>
      <c r="U48" s="7"/>
      <c r="V48" s="76">
        <v>14.25</v>
      </c>
      <c r="X48" s="4">
        <v>45</v>
      </c>
    </row>
    <row r="49" spans="12:40">
      <c r="M49" s="14" t="s">
        <v>192</v>
      </c>
      <c r="N49" s="76">
        <v>19.5</v>
      </c>
      <c r="O49" s="76">
        <v>7</v>
      </c>
      <c r="P49" s="76">
        <v>29.6</v>
      </c>
      <c r="Q49" s="7"/>
      <c r="R49" s="7"/>
      <c r="S49" s="7"/>
      <c r="T49" s="7"/>
      <c r="U49" s="7"/>
      <c r="V49" s="76">
        <v>14.25</v>
      </c>
      <c r="X49" s="4">
        <v>46</v>
      </c>
    </row>
    <row r="50" spans="12:40">
      <c r="L50" s="6"/>
      <c r="M50" s="14" t="s">
        <v>193</v>
      </c>
      <c r="N50" s="76">
        <v>19.5</v>
      </c>
      <c r="O50" s="76">
        <v>6.93</v>
      </c>
      <c r="P50" s="76">
        <v>29.62</v>
      </c>
      <c r="Q50" s="7"/>
      <c r="R50" s="7"/>
      <c r="S50" s="7"/>
      <c r="T50" s="7"/>
      <c r="U50" s="7"/>
      <c r="V50" s="76">
        <v>14.06</v>
      </c>
      <c r="X50" s="4">
        <v>47</v>
      </c>
    </row>
    <row r="51" spans="12:40">
      <c r="M51" s="14" t="s">
        <v>194</v>
      </c>
      <c r="N51" s="76">
        <v>20.6</v>
      </c>
      <c r="O51" s="76">
        <v>7.3</v>
      </c>
      <c r="P51" s="76">
        <v>29.9</v>
      </c>
      <c r="Q51" s="7"/>
      <c r="R51" s="7"/>
      <c r="S51" s="5"/>
      <c r="T51" s="3"/>
      <c r="U51" s="3"/>
      <c r="V51" s="76">
        <v>14.3</v>
      </c>
      <c r="X51" s="4">
        <v>48</v>
      </c>
      <c r="AJ51" s="3"/>
      <c r="AK51" s="3"/>
      <c r="AL51" s="3"/>
      <c r="AM51" s="3"/>
      <c r="AN51" s="3"/>
    </row>
    <row r="52" spans="12:40">
      <c r="L52" s="5">
        <f t="shared" ref="L52" si="17">L40+1</f>
        <v>1833</v>
      </c>
      <c r="M52" s="14" t="s">
        <v>96</v>
      </c>
      <c r="N52" s="76">
        <v>21.5</v>
      </c>
      <c r="O52" s="76">
        <v>7.41</v>
      </c>
      <c r="P52" s="76">
        <v>30.33</v>
      </c>
      <c r="Q52" s="7"/>
      <c r="R52" s="7"/>
      <c r="S52" s="76"/>
      <c r="T52" s="8">
        <v>9.5</v>
      </c>
      <c r="U52" s="76">
        <v>617.66</v>
      </c>
      <c r="V52" s="76">
        <v>14.5</v>
      </c>
      <c r="X52" s="4">
        <v>49</v>
      </c>
    </row>
    <row r="53" spans="12:40">
      <c r="M53" s="14" t="s">
        <v>97</v>
      </c>
      <c r="N53" s="76">
        <v>22.12</v>
      </c>
      <c r="O53" s="76">
        <v>7</v>
      </c>
      <c r="P53" s="76">
        <v>32.5</v>
      </c>
      <c r="Q53" s="7"/>
      <c r="R53" s="7"/>
      <c r="T53" s="9">
        <v>8.06</v>
      </c>
      <c r="U53" s="76">
        <v>625</v>
      </c>
      <c r="V53" s="76">
        <v>14.5</v>
      </c>
      <c r="X53" s="4">
        <v>50</v>
      </c>
    </row>
    <row r="54" spans="12:40">
      <c r="M54" s="14" t="s">
        <v>130</v>
      </c>
      <c r="N54" s="76">
        <v>22.5</v>
      </c>
      <c r="O54" s="76">
        <v>7.12</v>
      </c>
      <c r="P54" s="76">
        <v>33.5</v>
      </c>
      <c r="Q54" s="7"/>
      <c r="R54" s="7"/>
      <c r="T54" s="8">
        <v>7.75</v>
      </c>
      <c r="U54" s="76">
        <v>626.25</v>
      </c>
      <c r="V54" s="76">
        <v>15.18</v>
      </c>
      <c r="X54" s="4">
        <v>51</v>
      </c>
    </row>
    <row r="55" spans="12:40">
      <c r="M55" s="14" t="s">
        <v>131</v>
      </c>
      <c r="N55" s="76">
        <v>23.3</v>
      </c>
      <c r="O55" s="76">
        <v>7</v>
      </c>
      <c r="P55" s="76">
        <v>34</v>
      </c>
      <c r="Q55" s="10"/>
      <c r="R55" s="10"/>
      <c r="T55" s="8">
        <v>8.84</v>
      </c>
      <c r="U55" s="76">
        <v>625</v>
      </c>
      <c r="V55" s="76">
        <v>14.25</v>
      </c>
      <c r="X55" s="4">
        <v>52</v>
      </c>
    </row>
    <row r="56" spans="12:40">
      <c r="M56" s="14" t="s">
        <v>132</v>
      </c>
      <c r="N56" s="76">
        <v>24.25</v>
      </c>
      <c r="O56" s="76">
        <v>8</v>
      </c>
      <c r="P56" s="76">
        <v>34</v>
      </c>
      <c r="Q56" s="10"/>
      <c r="R56" s="10"/>
      <c r="T56" s="8">
        <v>9.8699999999999992</v>
      </c>
      <c r="U56" s="76">
        <v>647.5</v>
      </c>
      <c r="V56" s="76">
        <v>13.87</v>
      </c>
      <c r="X56" s="4">
        <v>53</v>
      </c>
    </row>
    <row r="57" spans="12:40">
      <c r="M57" s="14" t="s">
        <v>133</v>
      </c>
      <c r="N57" s="76">
        <v>23.43</v>
      </c>
      <c r="O57" s="76">
        <v>9.25</v>
      </c>
      <c r="P57" s="76">
        <v>34.619999999999997</v>
      </c>
      <c r="Q57" s="10"/>
      <c r="R57" s="10"/>
      <c r="T57" s="8">
        <v>13.31</v>
      </c>
      <c r="U57" s="76">
        <v>663</v>
      </c>
      <c r="V57" s="76">
        <v>13.18</v>
      </c>
      <c r="X57" s="4">
        <v>54</v>
      </c>
      <c r="AJ57" s="11"/>
    </row>
    <row r="58" spans="12:40">
      <c r="M58" s="14" t="s">
        <v>134</v>
      </c>
      <c r="N58" s="76">
        <v>23.9</v>
      </c>
      <c r="O58" s="76">
        <v>10.3</v>
      </c>
      <c r="P58" s="76">
        <v>34.9</v>
      </c>
      <c r="Q58" s="10"/>
      <c r="R58" s="10"/>
      <c r="S58" s="4">
        <v>13.25</v>
      </c>
      <c r="T58" s="8">
        <v>12</v>
      </c>
      <c r="U58" s="76">
        <v>700</v>
      </c>
      <c r="V58" s="76">
        <v>13.5</v>
      </c>
      <c r="X58" s="4">
        <v>55</v>
      </c>
      <c r="AJ58" s="11"/>
    </row>
    <row r="59" spans="12:40">
      <c r="M59" s="14" t="s">
        <v>135</v>
      </c>
      <c r="N59" s="76">
        <v>24.25</v>
      </c>
      <c r="O59" s="76">
        <v>12</v>
      </c>
      <c r="P59" s="76">
        <v>32.619999999999997</v>
      </c>
      <c r="Q59" s="10"/>
      <c r="R59" s="10"/>
      <c r="S59" s="4">
        <v>13.44</v>
      </c>
      <c r="T59" s="8">
        <v>12.39</v>
      </c>
      <c r="U59" s="76">
        <v>650</v>
      </c>
      <c r="V59" s="76">
        <v>14</v>
      </c>
      <c r="X59" s="4">
        <v>56</v>
      </c>
      <c r="AJ59" s="11"/>
    </row>
    <row r="60" spans="12:40">
      <c r="M60" s="14" t="s">
        <v>136</v>
      </c>
      <c r="N60" s="76">
        <v>24.25</v>
      </c>
      <c r="O60" s="76">
        <v>11.5</v>
      </c>
      <c r="P60" s="76">
        <v>31.62</v>
      </c>
      <c r="Q60" s="10"/>
      <c r="R60" s="10"/>
      <c r="S60" s="4">
        <v>12.98</v>
      </c>
      <c r="T60" s="8">
        <v>11.5</v>
      </c>
      <c r="U60" s="76">
        <v>631.25</v>
      </c>
      <c r="V60" s="76">
        <v>15.25</v>
      </c>
      <c r="X60" s="4">
        <v>57</v>
      </c>
      <c r="AJ60" s="11"/>
    </row>
    <row r="61" spans="12:40">
      <c r="M61" s="14" t="s">
        <v>192</v>
      </c>
      <c r="N61" s="76">
        <v>24.3</v>
      </c>
      <c r="O61" s="76">
        <v>10.199999999999999</v>
      </c>
      <c r="P61" s="76">
        <v>31.5</v>
      </c>
      <c r="Q61" s="10"/>
      <c r="R61" s="10"/>
      <c r="S61" s="4">
        <v>12.68</v>
      </c>
      <c r="T61" s="8">
        <v>12.31</v>
      </c>
      <c r="U61" s="76">
        <v>702</v>
      </c>
      <c r="V61" s="76">
        <v>13.5</v>
      </c>
      <c r="X61" s="4">
        <v>58</v>
      </c>
      <c r="AJ61" s="11"/>
    </row>
    <row r="62" spans="12:40">
      <c r="L62" s="6"/>
      <c r="M62" s="14" t="s">
        <v>193</v>
      </c>
      <c r="N62" s="76">
        <v>23.37</v>
      </c>
      <c r="O62" s="76">
        <v>11.25</v>
      </c>
      <c r="P62" s="76">
        <v>32.25</v>
      </c>
      <c r="Q62" s="10"/>
      <c r="R62" s="10"/>
      <c r="S62" s="4">
        <v>12.69</v>
      </c>
      <c r="T62" s="8">
        <v>12.62</v>
      </c>
      <c r="U62" s="76">
        <v>612.5</v>
      </c>
      <c r="V62" s="76">
        <v>14.25</v>
      </c>
      <c r="X62" s="4">
        <v>59</v>
      </c>
      <c r="AJ62" s="11"/>
    </row>
    <row r="63" spans="12:40">
      <c r="M63" s="14" t="s">
        <v>194</v>
      </c>
      <c r="N63" s="76">
        <v>21.3</v>
      </c>
      <c r="O63" s="76">
        <v>11.5</v>
      </c>
      <c r="P63" s="76">
        <v>32.1</v>
      </c>
      <c r="Q63" s="10"/>
      <c r="R63" s="10"/>
      <c r="S63" s="76">
        <v>11.9</v>
      </c>
      <c r="T63" s="8">
        <v>12.65</v>
      </c>
      <c r="U63" s="76">
        <v>625</v>
      </c>
      <c r="V63" s="76">
        <v>14.5</v>
      </c>
      <c r="X63" s="4">
        <v>60</v>
      </c>
      <c r="AJ63" s="11"/>
      <c r="AN63" s="9"/>
    </row>
    <row r="64" spans="12:40">
      <c r="L64" s="5">
        <f t="shared" ref="L64" si="18">L52+1</f>
        <v>1834</v>
      </c>
      <c r="M64" s="14" t="s">
        <v>96</v>
      </c>
      <c r="N64" s="76">
        <v>22.75</v>
      </c>
      <c r="O64" s="76">
        <v>11.5</v>
      </c>
      <c r="P64" s="76">
        <v>31.25</v>
      </c>
      <c r="Q64" s="10"/>
      <c r="R64" s="10"/>
      <c r="S64" s="76">
        <v>11.13</v>
      </c>
      <c r="T64" s="8">
        <v>14</v>
      </c>
      <c r="U64" s="76">
        <v>631</v>
      </c>
      <c r="V64" s="76">
        <v>14.25</v>
      </c>
      <c r="X64" s="4">
        <v>61</v>
      </c>
    </row>
    <row r="65" spans="1:24">
      <c r="M65" s="14" t="s">
        <v>97</v>
      </c>
      <c r="N65" s="76">
        <v>23</v>
      </c>
      <c r="O65" s="76">
        <v>10.81</v>
      </c>
      <c r="P65" s="76">
        <v>30.62</v>
      </c>
      <c r="Q65" s="10"/>
      <c r="R65" s="10"/>
      <c r="S65" s="76">
        <v>10.69</v>
      </c>
      <c r="T65" s="9">
        <v>13.25</v>
      </c>
      <c r="U65" s="76">
        <v>678.5</v>
      </c>
      <c r="V65" s="76">
        <v>14.38</v>
      </c>
      <c r="X65" s="4">
        <v>62</v>
      </c>
    </row>
    <row r="66" spans="1:24">
      <c r="M66" s="14" t="s">
        <v>130</v>
      </c>
      <c r="N66" s="76">
        <v>24</v>
      </c>
      <c r="O66" s="76">
        <v>11</v>
      </c>
      <c r="P66" s="76">
        <v>33.299999999999997</v>
      </c>
      <c r="Q66" s="10"/>
      <c r="R66" s="10"/>
      <c r="S66" s="76">
        <v>10.69</v>
      </c>
      <c r="T66" s="8">
        <v>14.25</v>
      </c>
      <c r="U66" s="76">
        <v>684.5</v>
      </c>
      <c r="V66" s="76">
        <v>14.63</v>
      </c>
      <c r="X66" s="4">
        <v>63</v>
      </c>
    </row>
    <row r="67" spans="1:24">
      <c r="A67" s="10"/>
      <c r="B67" s="76"/>
      <c r="C67" s="76"/>
      <c r="M67" s="14" t="s">
        <v>131</v>
      </c>
      <c r="N67" s="76">
        <v>24.2</v>
      </c>
      <c r="O67" s="76">
        <v>11.68</v>
      </c>
      <c r="P67" s="76">
        <v>33.5</v>
      </c>
      <c r="Q67" s="10"/>
      <c r="R67" s="10"/>
      <c r="S67" s="76">
        <v>11.38</v>
      </c>
      <c r="T67" s="8">
        <v>14.4</v>
      </c>
      <c r="U67" s="76">
        <v>657</v>
      </c>
      <c r="V67" s="76">
        <v>14.13</v>
      </c>
      <c r="W67" s="10"/>
      <c r="X67" s="4">
        <v>64</v>
      </c>
    </row>
    <row r="68" spans="1:24">
      <c r="A68" s="10"/>
      <c r="B68" s="76"/>
      <c r="C68" s="76"/>
      <c r="M68" s="14" t="s">
        <v>132</v>
      </c>
      <c r="N68" s="76">
        <v>24</v>
      </c>
      <c r="O68" s="76">
        <v>11.9</v>
      </c>
      <c r="P68" s="76">
        <v>33.5</v>
      </c>
      <c r="Q68" s="10"/>
      <c r="R68" s="10"/>
      <c r="S68" s="76">
        <v>11.2</v>
      </c>
      <c r="T68" s="8">
        <v>13.43</v>
      </c>
      <c r="U68" s="76">
        <v>627.5</v>
      </c>
      <c r="V68" s="76">
        <v>13.56</v>
      </c>
      <c r="W68" s="10"/>
      <c r="X68" s="4">
        <v>65</v>
      </c>
    </row>
    <row r="69" spans="1:24">
      <c r="A69" s="10"/>
      <c r="B69" s="76"/>
      <c r="C69" s="76"/>
      <c r="M69" s="14" t="s">
        <v>133</v>
      </c>
      <c r="N69" s="76">
        <v>24</v>
      </c>
      <c r="O69" s="76">
        <v>13.06</v>
      </c>
      <c r="P69" s="76">
        <v>35.25</v>
      </c>
      <c r="Q69" s="10"/>
      <c r="R69" s="10"/>
      <c r="S69" s="76">
        <v>11.5</v>
      </c>
      <c r="T69" s="8">
        <v>12.81</v>
      </c>
      <c r="U69" s="76">
        <v>550</v>
      </c>
      <c r="V69" s="76">
        <v>12.75</v>
      </c>
      <c r="W69" s="10"/>
      <c r="X69" s="4">
        <v>66</v>
      </c>
    </row>
    <row r="70" spans="1:24">
      <c r="A70" s="12"/>
      <c r="M70" s="14" t="s">
        <v>134</v>
      </c>
      <c r="N70" s="76">
        <v>24</v>
      </c>
      <c r="O70" s="76">
        <v>13.4</v>
      </c>
      <c r="P70" s="76">
        <v>35.700000000000003</v>
      </c>
      <c r="Q70" s="10"/>
      <c r="R70" s="10"/>
      <c r="S70" s="76">
        <v>11.63</v>
      </c>
      <c r="T70" s="8">
        <v>14</v>
      </c>
      <c r="U70" s="76">
        <v>593</v>
      </c>
      <c r="V70" s="76">
        <v>15.13</v>
      </c>
      <c r="W70" s="10"/>
      <c r="X70" s="4">
        <v>67</v>
      </c>
    </row>
    <row r="71" spans="1:24">
      <c r="A71" s="12"/>
      <c r="M71" s="14" t="s">
        <v>135</v>
      </c>
      <c r="N71" s="76">
        <v>23.7</v>
      </c>
      <c r="O71" s="76">
        <v>13.93</v>
      </c>
      <c r="P71" s="76">
        <v>34.5</v>
      </c>
      <c r="Q71" s="10"/>
      <c r="R71" s="10"/>
      <c r="S71" s="76">
        <v>11.45</v>
      </c>
      <c r="T71" s="8">
        <v>11.12</v>
      </c>
      <c r="U71" s="76">
        <v>619</v>
      </c>
      <c r="V71" s="76">
        <v>15.79</v>
      </c>
      <c r="W71" s="10"/>
      <c r="X71" s="4">
        <v>68</v>
      </c>
    </row>
    <row r="72" spans="1:24">
      <c r="A72" s="12"/>
      <c r="M72" s="14" t="s">
        <v>136</v>
      </c>
      <c r="N72" s="76">
        <v>23.2</v>
      </c>
      <c r="O72" s="76">
        <v>13.85</v>
      </c>
      <c r="P72" s="76">
        <v>34.700000000000003</v>
      </c>
      <c r="Q72" s="12"/>
      <c r="R72" s="12"/>
      <c r="S72" s="76">
        <v>9.81</v>
      </c>
      <c r="T72" s="8">
        <v>10</v>
      </c>
      <c r="U72" s="76">
        <v>614</v>
      </c>
      <c r="V72" s="76">
        <v>16.309999999999999</v>
      </c>
      <c r="W72" s="12"/>
      <c r="X72" s="4">
        <v>69</v>
      </c>
    </row>
    <row r="73" spans="1:24">
      <c r="A73" s="12"/>
      <c r="M73" s="14" t="s">
        <v>192</v>
      </c>
      <c r="N73" s="76">
        <v>23.62</v>
      </c>
      <c r="O73" s="76">
        <v>14.18</v>
      </c>
      <c r="P73" s="76">
        <v>34.06</v>
      </c>
      <c r="Q73" s="12"/>
      <c r="R73" s="12"/>
      <c r="S73" s="76">
        <v>10.029999999999999</v>
      </c>
      <c r="T73" s="8">
        <v>10.5</v>
      </c>
      <c r="U73" s="76">
        <v>593.75</v>
      </c>
      <c r="V73" s="76">
        <v>16.5</v>
      </c>
      <c r="W73" s="12"/>
      <c r="X73" s="4">
        <v>70</v>
      </c>
    </row>
    <row r="74" spans="1:24">
      <c r="A74" s="12"/>
      <c r="L74" s="6"/>
      <c r="M74" s="14" t="s">
        <v>193</v>
      </c>
      <c r="N74" s="76">
        <v>23</v>
      </c>
      <c r="O74" s="76">
        <v>13.15</v>
      </c>
      <c r="P74" s="76">
        <v>33.1</v>
      </c>
      <c r="Q74" s="12"/>
      <c r="R74" s="12"/>
      <c r="S74" s="76">
        <v>10.5</v>
      </c>
      <c r="T74" s="8">
        <v>10</v>
      </c>
      <c r="U74" s="76">
        <v>687</v>
      </c>
      <c r="V74" s="76">
        <v>15.87</v>
      </c>
      <c r="W74" s="12"/>
      <c r="X74" s="4">
        <v>71</v>
      </c>
    </row>
    <row r="75" spans="1:24">
      <c r="A75" s="12"/>
      <c r="M75" s="14" t="s">
        <v>194</v>
      </c>
      <c r="N75" s="76">
        <v>23</v>
      </c>
      <c r="O75" s="76">
        <v>11.15</v>
      </c>
      <c r="P75" s="76">
        <v>32.5</v>
      </c>
      <c r="Q75" s="12"/>
      <c r="R75" s="12"/>
      <c r="S75" s="76">
        <v>10.88</v>
      </c>
      <c r="T75" s="8">
        <v>10.199999999999999</v>
      </c>
      <c r="U75" s="76">
        <v>670</v>
      </c>
      <c r="V75" s="76">
        <v>16.5</v>
      </c>
      <c r="W75" s="12"/>
      <c r="X75" s="4">
        <v>72</v>
      </c>
    </row>
    <row r="76" spans="1:24">
      <c r="L76" s="5">
        <f t="shared" ref="L76" si="19">L64+1</f>
        <v>1835</v>
      </c>
      <c r="M76" s="14" t="s">
        <v>96</v>
      </c>
      <c r="N76" s="76">
        <v>23.5</v>
      </c>
      <c r="O76" s="76">
        <v>11</v>
      </c>
      <c r="P76" s="76">
        <v>31.87</v>
      </c>
      <c r="S76" s="76">
        <v>10.44</v>
      </c>
      <c r="T76" s="8">
        <v>10.119999999999999</v>
      </c>
      <c r="U76" s="76">
        <v>650</v>
      </c>
      <c r="V76" s="76">
        <v>16.809999999999999</v>
      </c>
      <c r="X76" s="4">
        <v>73</v>
      </c>
    </row>
    <row r="77" spans="1:24">
      <c r="A77" s="7"/>
      <c r="M77" s="14" t="s">
        <v>97</v>
      </c>
      <c r="N77" s="76">
        <v>22.87</v>
      </c>
      <c r="O77" s="76">
        <v>10.75</v>
      </c>
      <c r="P77" s="76">
        <v>33.25</v>
      </c>
      <c r="Q77" s="7"/>
      <c r="R77" s="7"/>
      <c r="S77" s="76">
        <v>10.54</v>
      </c>
      <c r="T77" s="9">
        <v>10.37</v>
      </c>
      <c r="U77" s="76">
        <v>668.75</v>
      </c>
      <c r="V77" s="76">
        <v>17.309999999999999</v>
      </c>
      <c r="W77" s="7"/>
      <c r="X77" s="4">
        <v>74</v>
      </c>
    </row>
    <row r="78" spans="1:24">
      <c r="A78" s="7"/>
      <c r="M78" s="14" t="s">
        <v>130</v>
      </c>
      <c r="N78" s="76">
        <v>23.5</v>
      </c>
      <c r="O78" s="76">
        <v>11.6</v>
      </c>
      <c r="P78" s="76">
        <v>33.299999999999997</v>
      </c>
      <c r="Q78" s="7"/>
      <c r="R78" s="7"/>
      <c r="S78" s="76">
        <v>10.5</v>
      </c>
      <c r="T78" s="8">
        <v>11</v>
      </c>
      <c r="U78" s="76">
        <v>666.25</v>
      </c>
      <c r="V78" s="76">
        <v>16</v>
      </c>
      <c r="W78" s="7"/>
      <c r="X78" s="4">
        <v>75</v>
      </c>
    </row>
    <row r="79" spans="1:24">
      <c r="A79" s="7"/>
      <c r="M79" s="14" t="s">
        <v>131</v>
      </c>
      <c r="N79" s="76">
        <v>22.81</v>
      </c>
      <c r="O79" s="76">
        <v>10.75</v>
      </c>
      <c r="P79" s="76">
        <v>32.75</v>
      </c>
      <c r="Q79" s="7"/>
      <c r="R79" s="7"/>
      <c r="S79" s="76">
        <v>10.87</v>
      </c>
      <c r="T79" s="8">
        <v>9.9499999999999993</v>
      </c>
      <c r="U79" s="76">
        <v>660</v>
      </c>
      <c r="V79" s="76">
        <v>16.13</v>
      </c>
      <c r="W79" s="7"/>
      <c r="X79" s="4">
        <v>76</v>
      </c>
    </row>
    <row r="80" spans="1:24">
      <c r="A80" s="7"/>
      <c r="M80" s="14" t="s">
        <v>132</v>
      </c>
      <c r="N80" s="76">
        <v>22.81</v>
      </c>
      <c r="O80" s="76">
        <v>10.75</v>
      </c>
      <c r="P80" s="76">
        <v>33</v>
      </c>
      <c r="Q80" s="7"/>
      <c r="R80" s="7"/>
      <c r="S80" s="76">
        <v>11.08</v>
      </c>
      <c r="T80" s="8">
        <v>10</v>
      </c>
      <c r="U80" s="76">
        <v>650</v>
      </c>
      <c r="V80" s="76">
        <v>15</v>
      </c>
      <c r="W80" s="7"/>
      <c r="X80" s="4">
        <v>77</v>
      </c>
    </row>
    <row r="81" spans="1:24">
      <c r="A81" s="7"/>
      <c r="M81" s="14" t="s">
        <v>133</v>
      </c>
      <c r="N81" s="76">
        <v>22.9</v>
      </c>
      <c r="O81" s="76">
        <v>11.3</v>
      </c>
      <c r="P81" s="76">
        <v>33.5</v>
      </c>
      <c r="Q81" s="7"/>
      <c r="R81" s="7"/>
      <c r="S81" s="76">
        <v>11.63</v>
      </c>
      <c r="T81" s="8">
        <v>10.7</v>
      </c>
      <c r="U81" s="76">
        <v>655</v>
      </c>
      <c r="V81" s="76">
        <v>14.75</v>
      </c>
      <c r="W81" s="7"/>
      <c r="X81" s="4">
        <v>78</v>
      </c>
    </row>
    <row r="82" spans="1:24">
      <c r="A82" s="7"/>
      <c r="M82" s="14" t="s">
        <v>134</v>
      </c>
      <c r="N82" s="76">
        <v>23</v>
      </c>
      <c r="O82" s="76">
        <v>11.93</v>
      </c>
      <c r="P82" s="76">
        <v>34.119999999999997</v>
      </c>
      <c r="Q82" s="7"/>
      <c r="R82" s="7"/>
      <c r="S82" s="76">
        <v>11.75</v>
      </c>
      <c r="T82" s="8">
        <v>12.12</v>
      </c>
      <c r="U82" s="76">
        <v>650</v>
      </c>
      <c r="V82" s="76">
        <v>15.25</v>
      </c>
      <c r="W82" s="7"/>
      <c r="X82" s="4">
        <v>79</v>
      </c>
    </row>
    <row r="83" spans="1:24">
      <c r="A83" s="7"/>
      <c r="M83" s="14" t="s">
        <v>135</v>
      </c>
      <c r="N83" s="76">
        <v>22.87</v>
      </c>
      <c r="O83" s="76">
        <v>11.25</v>
      </c>
      <c r="P83" s="76">
        <v>33.5</v>
      </c>
      <c r="Q83" s="7"/>
      <c r="R83" s="7"/>
      <c r="S83" s="76">
        <v>11.4</v>
      </c>
      <c r="T83" s="8">
        <v>10.3</v>
      </c>
      <c r="U83" s="76">
        <v>653.75</v>
      </c>
      <c r="V83" s="76">
        <v>16.13</v>
      </c>
      <c r="W83" s="7"/>
      <c r="X83" s="4">
        <v>80</v>
      </c>
    </row>
    <row r="84" spans="1:24">
      <c r="A84" s="7"/>
      <c r="M84" s="14" t="s">
        <v>136</v>
      </c>
      <c r="N84" s="76">
        <v>22.8</v>
      </c>
      <c r="O84" s="76">
        <v>11.25</v>
      </c>
      <c r="P84" s="76">
        <v>33.44</v>
      </c>
      <c r="Q84" s="7"/>
      <c r="R84" s="7"/>
      <c r="S84" s="76">
        <v>11.5</v>
      </c>
      <c r="T84" s="8">
        <v>11.65</v>
      </c>
      <c r="U84" s="76">
        <v>655</v>
      </c>
      <c r="V84" s="76">
        <v>15.75</v>
      </c>
      <c r="W84" s="7"/>
      <c r="X84" s="4">
        <v>81</v>
      </c>
    </row>
    <row r="85" spans="1:24">
      <c r="A85" s="7"/>
      <c r="M85" s="14" t="s">
        <v>192</v>
      </c>
      <c r="N85" s="76">
        <v>22.75</v>
      </c>
      <c r="O85" s="76">
        <v>11.37</v>
      </c>
      <c r="P85" s="76">
        <v>29.31</v>
      </c>
      <c r="Q85" s="7"/>
      <c r="R85" s="7"/>
      <c r="S85" s="76">
        <v>10.88</v>
      </c>
      <c r="T85" s="8">
        <v>10.75</v>
      </c>
      <c r="U85" s="76">
        <v>643.75</v>
      </c>
      <c r="V85" s="76">
        <v>15.19</v>
      </c>
      <c r="W85" s="7"/>
      <c r="X85" s="4">
        <v>82</v>
      </c>
    </row>
    <row r="86" spans="1:24">
      <c r="A86" s="7"/>
      <c r="L86" s="6"/>
      <c r="M86" s="14" t="s">
        <v>193</v>
      </c>
      <c r="N86" s="76">
        <v>22</v>
      </c>
      <c r="O86" s="76">
        <v>11.12</v>
      </c>
      <c r="P86" s="76">
        <v>29.75</v>
      </c>
      <c r="Q86" s="7"/>
      <c r="R86" s="7"/>
      <c r="S86" s="76">
        <v>10.88</v>
      </c>
      <c r="T86" s="8">
        <v>10.81</v>
      </c>
      <c r="U86" s="76">
        <v>382</v>
      </c>
      <c r="V86" s="76">
        <v>15</v>
      </c>
      <c r="W86" s="7"/>
      <c r="X86" s="4">
        <v>83</v>
      </c>
    </row>
    <row r="87" spans="1:24">
      <c r="A87" s="7"/>
      <c r="M87" s="14" t="s">
        <v>194</v>
      </c>
      <c r="N87" s="76">
        <v>21.6</v>
      </c>
      <c r="O87" s="76">
        <v>10.7</v>
      </c>
      <c r="P87" s="76">
        <v>29.2</v>
      </c>
      <c r="Q87" s="7"/>
      <c r="R87" s="7"/>
      <c r="S87" s="76">
        <v>11.35</v>
      </c>
      <c r="T87" s="8">
        <v>9.9</v>
      </c>
      <c r="U87" s="76">
        <v>304</v>
      </c>
      <c r="V87" s="76">
        <v>15.5</v>
      </c>
      <c r="W87" s="7"/>
      <c r="X87" s="4">
        <v>84</v>
      </c>
    </row>
    <row r="88" spans="1:24">
      <c r="A88" s="7"/>
      <c r="L88" s="5">
        <f t="shared" ref="L88:L148" si="20">L76+1</f>
        <v>1836</v>
      </c>
      <c r="M88" s="14" t="s">
        <v>96</v>
      </c>
      <c r="N88" s="76">
        <v>21.56</v>
      </c>
      <c r="O88" s="76">
        <v>9.93</v>
      </c>
      <c r="P88" s="76">
        <v>29.25</v>
      </c>
      <c r="Q88" s="7"/>
      <c r="R88" s="7"/>
      <c r="S88" s="76">
        <v>11.06</v>
      </c>
      <c r="T88" s="8">
        <v>10.5</v>
      </c>
      <c r="U88" s="76">
        <v>322.75</v>
      </c>
      <c r="V88" s="76">
        <v>16.75</v>
      </c>
      <c r="W88" s="7"/>
      <c r="X88" s="4">
        <v>85</v>
      </c>
    </row>
    <row r="89" spans="1:24">
      <c r="A89" s="7"/>
      <c r="M89" s="14" t="s">
        <v>97</v>
      </c>
      <c r="N89" s="76">
        <v>21.06</v>
      </c>
      <c r="O89" s="76">
        <v>9.75</v>
      </c>
      <c r="P89" s="76">
        <v>29.37</v>
      </c>
      <c r="Q89" s="7"/>
      <c r="R89" s="7"/>
      <c r="S89" s="76">
        <v>10.94</v>
      </c>
      <c r="T89" s="9">
        <v>10.75</v>
      </c>
      <c r="U89" s="76">
        <v>316.39999999999998</v>
      </c>
      <c r="V89" s="76">
        <v>16.7</v>
      </c>
      <c r="W89" s="7"/>
      <c r="X89" s="4">
        <v>86</v>
      </c>
    </row>
    <row r="90" spans="1:24">
      <c r="A90" s="7"/>
      <c r="M90" s="14" t="s">
        <v>130</v>
      </c>
      <c r="N90" s="76">
        <v>22.55</v>
      </c>
      <c r="O90" s="76">
        <v>10.4</v>
      </c>
      <c r="P90" s="76">
        <v>30.6</v>
      </c>
      <c r="Q90" s="7"/>
      <c r="R90" s="7"/>
      <c r="S90" s="76">
        <v>11.88</v>
      </c>
      <c r="T90" s="8">
        <v>10.56</v>
      </c>
      <c r="U90" s="76">
        <v>323</v>
      </c>
      <c r="V90" s="76">
        <v>16.5</v>
      </c>
      <c r="W90" s="7"/>
      <c r="X90" s="4">
        <v>87</v>
      </c>
    </row>
    <row r="91" spans="1:24">
      <c r="A91" s="7"/>
      <c r="M91" s="14" t="s">
        <v>131</v>
      </c>
      <c r="N91" s="76">
        <v>24.5</v>
      </c>
      <c r="O91" s="76">
        <v>10.37</v>
      </c>
      <c r="P91" s="76">
        <v>32.25</v>
      </c>
      <c r="Q91" s="7"/>
      <c r="R91" s="7"/>
      <c r="S91" s="76">
        <v>12.25</v>
      </c>
      <c r="T91" s="8">
        <v>10.25</v>
      </c>
      <c r="U91" s="76">
        <v>326</v>
      </c>
      <c r="V91" s="76">
        <v>16.5</v>
      </c>
      <c r="W91" s="7"/>
      <c r="X91" s="4">
        <v>88</v>
      </c>
    </row>
    <row r="92" spans="1:24">
      <c r="A92" s="7"/>
      <c r="M92" s="14" t="s">
        <v>132</v>
      </c>
      <c r="N92" s="76">
        <v>23.95</v>
      </c>
      <c r="O92" s="76">
        <v>11.45</v>
      </c>
      <c r="P92" s="76">
        <v>33.5</v>
      </c>
      <c r="Q92" s="7"/>
      <c r="R92" s="7"/>
      <c r="S92" s="76">
        <v>12.15</v>
      </c>
      <c r="T92" s="8">
        <v>10.68</v>
      </c>
      <c r="U92" s="76">
        <v>326</v>
      </c>
      <c r="V92" s="76">
        <v>16.5</v>
      </c>
      <c r="W92" s="7"/>
      <c r="X92" s="4">
        <v>89</v>
      </c>
    </row>
    <row r="93" spans="1:24">
      <c r="A93" s="7"/>
      <c r="M93" s="14" t="s">
        <v>133</v>
      </c>
      <c r="N93" s="76">
        <v>23.12</v>
      </c>
      <c r="O93" s="76">
        <v>11.5</v>
      </c>
      <c r="P93" s="76">
        <v>33.06</v>
      </c>
      <c r="Q93" s="7"/>
      <c r="R93" s="7"/>
      <c r="S93" s="76">
        <v>12.88</v>
      </c>
      <c r="T93" s="8">
        <v>11.2</v>
      </c>
      <c r="U93" s="76">
        <v>328.4</v>
      </c>
      <c r="V93" s="76">
        <v>15.5</v>
      </c>
      <c r="W93" s="7"/>
      <c r="X93" s="4">
        <v>90</v>
      </c>
    </row>
    <row r="94" spans="1:24">
      <c r="A94" s="7"/>
      <c r="M94" s="14" t="s">
        <v>134</v>
      </c>
      <c r="N94" s="76">
        <v>21.25</v>
      </c>
      <c r="O94" s="76">
        <v>11.5</v>
      </c>
      <c r="P94" s="76">
        <v>32.5</v>
      </c>
      <c r="Q94" s="7"/>
      <c r="R94" s="7"/>
      <c r="S94" s="76">
        <v>12.05</v>
      </c>
      <c r="T94" s="8">
        <v>10.75</v>
      </c>
      <c r="U94" s="76">
        <v>336</v>
      </c>
      <c r="V94" s="76">
        <v>21.75</v>
      </c>
      <c r="W94" s="7"/>
      <c r="X94" s="4">
        <v>91</v>
      </c>
    </row>
    <row r="95" spans="1:24">
      <c r="A95" s="7"/>
      <c r="M95" s="14" t="s">
        <v>135</v>
      </c>
      <c r="N95" s="76">
        <v>22.55</v>
      </c>
      <c r="O95" s="76">
        <v>11.4</v>
      </c>
      <c r="P95" s="76">
        <v>32.200000000000003</v>
      </c>
      <c r="Q95" s="7"/>
      <c r="R95" s="7"/>
      <c r="S95" s="76">
        <v>12.06</v>
      </c>
      <c r="T95" s="8">
        <v>11</v>
      </c>
      <c r="U95" s="76">
        <v>333.8</v>
      </c>
      <c r="V95" s="76">
        <v>25.4</v>
      </c>
      <c r="W95" s="7"/>
      <c r="X95" s="4">
        <v>92</v>
      </c>
    </row>
    <row r="96" spans="1:24">
      <c r="A96" s="7"/>
      <c r="M96" s="14" t="s">
        <v>136</v>
      </c>
      <c r="N96" s="76">
        <v>22.43</v>
      </c>
      <c r="O96" s="76">
        <v>10.5</v>
      </c>
      <c r="P96" s="76">
        <v>30.81</v>
      </c>
      <c r="Q96" s="7"/>
      <c r="R96" s="7"/>
      <c r="S96" s="76">
        <v>12.15</v>
      </c>
      <c r="T96" s="8">
        <v>10.87</v>
      </c>
      <c r="U96" s="76">
        <v>401.5</v>
      </c>
      <c r="V96" s="76">
        <v>23.7</v>
      </c>
      <c r="W96" s="7"/>
      <c r="X96" s="4">
        <v>93</v>
      </c>
    </row>
    <row r="97" spans="1:24">
      <c r="M97" s="14" t="s">
        <v>192</v>
      </c>
      <c r="N97" s="76">
        <v>21.56</v>
      </c>
      <c r="O97" s="76">
        <v>11</v>
      </c>
      <c r="P97" s="76">
        <v>30.06</v>
      </c>
      <c r="S97" s="76">
        <v>12.37</v>
      </c>
      <c r="T97" s="8">
        <v>11.37</v>
      </c>
      <c r="U97" s="76">
        <v>360.25</v>
      </c>
      <c r="V97" s="76">
        <v>22.25</v>
      </c>
      <c r="X97" s="4">
        <v>94</v>
      </c>
    </row>
    <row r="98" spans="1:24">
      <c r="L98" s="6"/>
      <c r="M98" s="14" t="s">
        <v>193</v>
      </c>
      <c r="N98" s="76">
        <v>20.3</v>
      </c>
      <c r="O98" s="76">
        <v>10.9</v>
      </c>
      <c r="P98" s="76">
        <v>28.75</v>
      </c>
      <c r="S98" s="76">
        <v>12</v>
      </c>
      <c r="T98" s="8">
        <v>11</v>
      </c>
      <c r="U98" s="76">
        <v>358.8</v>
      </c>
      <c r="V98" s="76">
        <v>19.8</v>
      </c>
      <c r="X98" s="4">
        <v>95</v>
      </c>
    </row>
    <row r="99" spans="1:24">
      <c r="M99" s="14" t="s">
        <v>194</v>
      </c>
      <c r="N99" s="76">
        <v>20.97</v>
      </c>
      <c r="O99" s="76">
        <v>10.87</v>
      </c>
      <c r="P99" s="76">
        <v>28.62</v>
      </c>
      <c r="S99" s="76">
        <v>11.35</v>
      </c>
      <c r="T99" s="8">
        <v>10.95</v>
      </c>
      <c r="U99" s="76">
        <v>369</v>
      </c>
      <c r="V99" s="76">
        <v>17.600000000000001</v>
      </c>
      <c r="X99" s="4">
        <v>96</v>
      </c>
    </row>
    <row r="100" spans="1:24">
      <c r="L100" s="5">
        <f t="shared" si="20"/>
        <v>1837</v>
      </c>
      <c r="M100" s="14" t="s">
        <v>96</v>
      </c>
      <c r="N100" s="76">
        <v>20.8</v>
      </c>
      <c r="O100" s="76">
        <v>9.9499999999999993</v>
      </c>
      <c r="P100" s="76">
        <v>28.05</v>
      </c>
      <c r="S100" s="76">
        <v>11</v>
      </c>
      <c r="T100" s="8">
        <v>10.5</v>
      </c>
      <c r="U100" s="76">
        <v>388</v>
      </c>
      <c r="V100" s="76">
        <v>13</v>
      </c>
      <c r="X100" s="4">
        <v>97</v>
      </c>
    </row>
    <row r="101" spans="1:24">
      <c r="A101" s="12"/>
      <c r="B101" s="76"/>
      <c r="C101" s="76"/>
      <c r="M101" s="14" t="s">
        <v>97</v>
      </c>
      <c r="N101" s="76">
        <v>21.75</v>
      </c>
      <c r="O101" s="76">
        <v>10.18</v>
      </c>
      <c r="P101" s="76">
        <v>29.12</v>
      </c>
      <c r="Q101" s="12"/>
      <c r="R101" s="12"/>
      <c r="S101" s="76">
        <v>11.56</v>
      </c>
      <c r="T101" s="9">
        <v>10.4</v>
      </c>
      <c r="U101" s="76">
        <v>304</v>
      </c>
      <c r="V101" s="76">
        <v>12.38</v>
      </c>
      <c r="W101" s="12"/>
      <c r="X101" s="4">
        <v>98</v>
      </c>
    </row>
    <row r="102" spans="1:24">
      <c r="A102" s="12"/>
      <c r="B102" s="76"/>
      <c r="C102" s="76"/>
      <c r="M102" s="14" t="s">
        <v>130</v>
      </c>
      <c r="N102" s="76">
        <v>23.37</v>
      </c>
      <c r="O102" s="76">
        <v>10.25</v>
      </c>
      <c r="P102" s="76">
        <v>30.37</v>
      </c>
      <c r="Q102" s="12"/>
      <c r="R102" s="12"/>
      <c r="S102" s="76">
        <v>12.12</v>
      </c>
      <c r="T102" s="8">
        <v>11.5</v>
      </c>
      <c r="U102" s="76">
        <v>370</v>
      </c>
      <c r="V102" s="76">
        <v>15.25</v>
      </c>
      <c r="W102" s="12"/>
      <c r="X102" s="4">
        <v>99</v>
      </c>
    </row>
    <row r="103" spans="1:24">
      <c r="A103" s="12"/>
      <c r="B103" s="76"/>
      <c r="C103" s="76"/>
      <c r="M103" s="14" t="s">
        <v>131</v>
      </c>
      <c r="N103" s="76">
        <v>24</v>
      </c>
      <c r="O103" s="76">
        <v>10.56</v>
      </c>
      <c r="P103" s="76">
        <v>31.31</v>
      </c>
      <c r="Q103" s="12"/>
      <c r="R103" s="12"/>
      <c r="S103" s="76">
        <v>12.56</v>
      </c>
      <c r="T103" s="8">
        <v>12.5</v>
      </c>
      <c r="U103" s="76">
        <v>395.5</v>
      </c>
      <c r="V103" s="76">
        <v>14.8</v>
      </c>
      <c r="W103" s="12"/>
      <c r="X103" s="4">
        <v>100</v>
      </c>
    </row>
    <row r="104" spans="1:24">
      <c r="A104" s="12"/>
      <c r="B104" s="76"/>
      <c r="C104" s="76"/>
      <c r="M104" s="14" t="s">
        <v>132</v>
      </c>
      <c r="N104" s="76">
        <v>25.3</v>
      </c>
      <c r="O104" s="76">
        <v>12.68</v>
      </c>
      <c r="P104" s="76">
        <v>32.950000000000003</v>
      </c>
      <c r="Q104" s="12"/>
      <c r="R104" s="12"/>
      <c r="S104" s="76">
        <v>13.06</v>
      </c>
      <c r="T104" s="8">
        <v>12.3</v>
      </c>
      <c r="U104" s="76">
        <v>306.8</v>
      </c>
      <c r="V104" s="76">
        <v>14.8</v>
      </c>
      <c r="W104" s="12"/>
      <c r="X104" s="4">
        <v>101</v>
      </c>
    </row>
    <row r="105" spans="1:24">
      <c r="A105" s="12"/>
      <c r="B105" s="76"/>
      <c r="C105" s="76"/>
      <c r="M105" s="14" t="s">
        <v>133</v>
      </c>
      <c r="N105" s="76">
        <v>25.31</v>
      </c>
      <c r="O105" s="76">
        <v>10.56</v>
      </c>
      <c r="P105" s="76">
        <v>34</v>
      </c>
      <c r="Q105" s="12"/>
      <c r="R105" s="12"/>
      <c r="S105" s="76">
        <v>13</v>
      </c>
      <c r="T105" s="8">
        <v>11.62</v>
      </c>
      <c r="U105" s="76">
        <v>359</v>
      </c>
      <c r="V105" s="76">
        <v>15.13</v>
      </c>
      <c r="W105" s="12"/>
      <c r="X105" s="4">
        <v>102</v>
      </c>
    </row>
    <row r="106" spans="1:24">
      <c r="A106" s="12"/>
      <c r="B106" s="76"/>
      <c r="C106" s="76"/>
      <c r="M106" s="14" t="s">
        <v>134</v>
      </c>
      <c r="N106" s="76">
        <v>25.18</v>
      </c>
      <c r="O106" s="76">
        <v>10.87</v>
      </c>
      <c r="P106" s="76">
        <v>35.44</v>
      </c>
      <c r="Q106" s="12"/>
      <c r="R106" s="12"/>
      <c r="S106" s="76">
        <v>13.35</v>
      </c>
      <c r="T106" s="8">
        <v>12.62</v>
      </c>
      <c r="U106" s="76">
        <v>356.5</v>
      </c>
      <c r="V106" s="76">
        <v>16.25</v>
      </c>
      <c r="W106" s="12"/>
      <c r="X106" s="4">
        <v>103</v>
      </c>
    </row>
    <row r="107" spans="1:24">
      <c r="A107" s="12"/>
      <c r="B107" s="76"/>
      <c r="C107" s="76"/>
      <c r="M107" s="14" t="s">
        <v>135</v>
      </c>
      <c r="N107" s="76">
        <v>24.7</v>
      </c>
      <c r="O107" s="76">
        <v>11.1</v>
      </c>
      <c r="P107" s="76">
        <v>36</v>
      </c>
      <c r="Q107" s="12"/>
      <c r="R107" s="12"/>
      <c r="S107" s="76">
        <v>13.87</v>
      </c>
      <c r="T107" s="8">
        <v>14</v>
      </c>
      <c r="U107" s="76">
        <v>359.2</v>
      </c>
      <c r="V107" s="76">
        <v>18.899999999999999</v>
      </c>
      <c r="W107" s="12"/>
      <c r="X107" s="4">
        <v>104</v>
      </c>
    </row>
    <row r="108" spans="1:24">
      <c r="A108" s="12"/>
      <c r="B108" s="76"/>
      <c r="C108" s="76"/>
      <c r="M108" s="14" t="s">
        <v>136</v>
      </c>
      <c r="N108" s="76">
        <v>24.06</v>
      </c>
      <c r="O108" s="76">
        <v>10.75</v>
      </c>
      <c r="P108" s="76">
        <v>34.869999999999997</v>
      </c>
      <c r="Q108" s="12"/>
      <c r="R108" s="12"/>
      <c r="S108" s="76">
        <v>13.16</v>
      </c>
      <c r="T108" s="8">
        <v>10.37</v>
      </c>
      <c r="U108" s="76">
        <v>326</v>
      </c>
      <c r="V108" s="76">
        <v>17.38</v>
      </c>
      <c r="W108" s="12"/>
      <c r="X108" s="4">
        <v>105</v>
      </c>
    </row>
    <row r="109" spans="1:24">
      <c r="A109" s="12"/>
      <c r="B109" s="76"/>
      <c r="C109" s="76"/>
      <c r="M109" s="14" t="s">
        <v>192</v>
      </c>
      <c r="N109" s="76">
        <v>23.6</v>
      </c>
      <c r="O109" s="76">
        <v>10.1</v>
      </c>
      <c r="P109" s="76">
        <v>32.85</v>
      </c>
      <c r="Q109" s="12"/>
      <c r="R109" s="12"/>
      <c r="S109" s="76">
        <v>11.51</v>
      </c>
      <c r="T109" s="8">
        <v>9</v>
      </c>
      <c r="U109" s="76">
        <v>327.25</v>
      </c>
      <c r="V109" s="76">
        <v>15.9</v>
      </c>
      <c r="W109" s="12"/>
      <c r="X109" s="4">
        <v>106</v>
      </c>
    </row>
    <row r="110" spans="1:24">
      <c r="A110" s="12"/>
      <c r="B110" s="76"/>
      <c r="C110" s="76"/>
      <c r="L110" s="6"/>
      <c r="M110" s="14" t="s">
        <v>193</v>
      </c>
      <c r="N110" s="76">
        <v>25</v>
      </c>
      <c r="O110" s="76">
        <v>9.8699999999999992</v>
      </c>
      <c r="P110" s="76">
        <v>32.75</v>
      </c>
      <c r="Q110" s="12"/>
      <c r="R110" s="12"/>
      <c r="S110" s="76">
        <v>11.7</v>
      </c>
      <c r="T110" s="8">
        <v>8.5</v>
      </c>
      <c r="U110" s="76">
        <v>309</v>
      </c>
      <c r="V110" s="76">
        <v>18.5</v>
      </c>
      <c r="W110" s="12"/>
      <c r="X110" s="4">
        <v>107</v>
      </c>
    </row>
    <row r="111" spans="1:24">
      <c r="A111" s="12"/>
      <c r="B111" s="76"/>
      <c r="C111" s="76"/>
      <c r="M111" s="14" t="s">
        <v>194</v>
      </c>
      <c r="N111" s="76">
        <v>25.5</v>
      </c>
      <c r="O111" s="76">
        <v>10.31</v>
      </c>
      <c r="P111" s="76">
        <v>33.5</v>
      </c>
      <c r="Q111" s="12"/>
      <c r="R111" s="12"/>
      <c r="S111" s="76">
        <v>12.3</v>
      </c>
      <c r="T111" s="8">
        <v>9.3000000000000007</v>
      </c>
      <c r="U111" s="76">
        <v>283.2</v>
      </c>
      <c r="V111" s="76">
        <v>18.2</v>
      </c>
      <c r="W111" s="12"/>
      <c r="X111" s="4">
        <v>108</v>
      </c>
    </row>
    <row r="112" spans="1:24">
      <c r="A112" s="12"/>
      <c r="B112" s="76"/>
      <c r="C112" s="76"/>
      <c r="L112" s="5">
        <f t="shared" si="20"/>
        <v>1838</v>
      </c>
      <c r="M112" s="14" t="s">
        <v>96</v>
      </c>
      <c r="N112" s="76">
        <v>24.8</v>
      </c>
      <c r="O112" s="76">
        <v>10.6</v>
      </c>
      <c r="P112" s="76">
        <v>33.75</v>
      </c>
      <c r="Q112" s="12"/>
      <c r="R112" s="12"/>
      <c r="S112" s="76">
        <v>12.38</v>
      </c>
      <c r="T112" s="8">
        <v>9.3699999999999992</v>
      </c>
      <c r="U112" s="76">
        <v>340</v>
      </c>
      <c r="V112" s="76">
        <v>17.63</v>
      </c>
      <c r="W112" s="12"/>
      <c r="X112" s="4">
        <v>109</v>
      </c>
    </row>
    <row r="113" spans="1:24">
      <c r="A113" s="12"/>
      <c r="B113" s="76"/>
      <c r="C113" s="76"/>
      <c r="M113" s="14" t="s">
        <v>97</v>
      </c>
      <c r="N113" s="76">
        <v>23.12</v>
      </c>
      <c r="O113" s="76">
        <v>10.56</v>
      </c>
      <c r="P113" s="76">
        <v>33.75</v>
      </c>
      <c r="Q113" s="12"/>
      <c r="R113" s="12"/>
      <c r="S113" s="76">
        <v>12.06</v>
      </c>
      <c r="T113" s="9">
        <v>10.37</v>
      </c>
      <c r="U113" s="76">
        <v>247</v>
      </c>
      <c r="V113" s="76">
        <v>15.13</v>
      </c>
      <c r="W113" s="12"/>
      <c r="X113" s="4">
        <v>110</v>
      </c>
    </row>
    <row r="114" spans="1:24">
      <c r="A114" s="12"/>
      <c r="B114" s="76"/>
      <c r="C114" s="76"/>
      <c r="M114" s="14" t="s">
        <v>130</v>
      </c>
      <c r="N114" s="76">
        <v>24.81</v>
      </c>
      <c r="O114" s="76">
        <v>11</v>
      </c>
      <c r="P114" s="76">
        <v>34.619999999999997</v>
      </c>
      <c r="Q114" s="12"/>
      <c r="R114" s="12"/>
      <c r="S114" s="76">
        <v>13</v>
      </c>
      <c r="T114" s="8">
        <v>10.75</v>
      </c>
      <c r="U114" s="76">
        <v>285.5</v>
      </c>
      <c r="V114" s="76">
        <v>15.63</v>
      </c>
      <c r="W114" s="12"/>
      <c r="X114" s="4">
        <v>111</v>
      </c>
    </row>
    <row r="115" spans="1:24">
      <c r="A115" s="12"/>
      <c r="B115" s="76"/>
      <c r="C115" s="76"/>
      <c r="M115" s="14" t="s">
        <v>131</v>
      </c>
      <c r="N115" s="76">
        <v>26.65</v>
      </c>
      <c r="O115" s="76">
        <v>11.75</v>
      </c>
      <c r="P115" s="76">
        <v>35.369999999999997</v>
      </c>
      <c r="Q115" s="12"/>
      <c r="R115" s="12"/>
      <c r="S115" s="76">
        <v>13.37</v>
      </c>
      <c r="T115" s="8">
        <v>11.18</v>
      </c>
      <c r="U115" s="76">
        <v>279</v>
      </c>
      <c r="V115" s="76">
        <v>15.38</v>
      </c>
      <c r="W115" s="12"/>
      <c r="X115" s="4">
        <v>112</v>
      </c>
    </row>
    <row r="116" spans="1:24">
      <c r="M116" s="14" t="s">
        <v>132</v>
      </c>
      <c r="N116" s="76">
        <v>23</v>
      </c>
      <c r="O116" s="76">
        <v>9.6999999999999993</v>
      </c>
      <c r="P116" s="76">
        <v>32.4</v>
      </c>
      <c r="S116" s="76">
        <v>11.63</v>
      </c>
      <c r="T116" s="8">
        <v>8.4</v>
      </c>
      <c r="U116" s="76">
        <v>178.6</v>
      </c>
      <c r="V116" s="76">
        <v>13.5</v>
      </c>
      <c r="X116" s="4">
        <v>113</v>
      </c>
    </row>
    <row r="117" spans="1:24">
      <c r="M117" s="14" t="s">
        <v>133</v>
      </c>
      <c r="N117" s="76">
        <v>22.87</v>
      </c>
      <c r="O117" s="76">
        <v>9.25</v>
      </c>
      <c r="P117" s="76">
        <v>32.369999999999997</v>
      </c>
      <c r="S117" s="76">
        <v>11.5</v>
      </c>
      <c r="T117" s="8">
        <v>8.25</v>
      </c>
      <c r="U117" s="76">
        <v>162</v>
      </c>
      <c r="V117" s="76">
        <v>13.25</v>
      </c>
      <c r="X117" s="4">
        <v>114</v>
      </c>
    </row>
    <row r="118" spans="1:24">
      <c r="M118" s="14" t="s">
        <v>134</v>
      </c>
      <c r="N118" s="76">
        <v>21.87</v>
      </c>
      <c r="O118" s="76">
        <v>9.3000000000000007</v>
      </c>
      <c r="P118" s="76">
        <v>31.4</v>
      </c>
      <c r="S118" s="76">
        <v>11.13</v>
      </c>
      <c r="T118" s="8">
        <v>8.25</v>
      </c>
      <c r="U118" s="76">
        <v>163</v>
      </c>
      <c r="V118" s="76">
        <v>13.7</v>
      </c>
      <c r="X118" s="4">
        <v>115</v>
      </c>
    </row>
    <row r="119" spans="1:24">
      <c r="M119" s="14" t="s">
        <v>135</v>
      </c>
      <c r="N119" s="76">
        <v>22</v>
      </c>
      <c r="O119" s="76">
        <v>9.5</v>
      </c>
      <c r="P119" s="76">
        <v>30.5</v>
      </c>
      <c r="S119" s="76">
        <v>11.44</v>
      </c>
      <c r="T119" s="8">
        <v>8</v>
      </c>
      <c r="U119" s="76">
        <v>159</v>
      </c>
      <c r="V119" s="76">
        <v>14.5</v>
      </c>
      <c r="X119" s="4">
        <v>116</v>
      </c>
    </row>
    <row r="120" spans="1:24">
      <c r="M120" s="14" t="s">
        <v>136</v>
      </c>
      <c r="N120" s="76">
        <v>21.5</v>
      </c>
      <c r="O120" s="76">
        <v>9.5</v>
      </c>
      <c r="P120" s="76">
        <v>28.75</v>
      </c>
      <c r="S120" s="76">
        <v>11.5</v>
      </c>
      <c r="T120" s="8">
        <v>8</v>
      </c>
      <c r="U120" s="76">
        <v>150</v>
      </c>
      <c r="V120" s="76">
        <v>14.25</v>
      </c>
      <c r="X120" s="4">
        <v>117</v>
      </c>
    </row>
    <row r="121" spans="1:24">
      <c r="M121" s="14" t="s">
        <v>192</v>
      </c>
      <c r="N121" s="76">
        <v>22</v>
      </c>
      <c r="O121" s="76">
        <v>9.3000000000000007</v>
      </c>
      <c r="P121" s="76">
        <v>28</v>
      </c>
      <c r="S121" s="76">
        <v>11.5</v>
      </c>
      <c r="T121" s="8">
        <v>7.9</v>
      </c>
      <c r="U121" s="76">
        <v>150</v>
      </c>
      <c r="V121" s="76">
        <v>14.75</v>
      </c>
      <c r="X121" s="4">
        <v>118</v>
      </c>
    </row>
    <row r="122" spans="1:24">
      <c r="L122" s="6"/>
      <c r="M122" s="14" t="s">
        <v>193</v>
      </c>
      <c r="N122" s="76">
        <v>23.37</v>
      </c>
      <c r="O122" s="76">
        <v>10.31</v>
      </c>
      <c r="P122" s="76">
        <v>31.25</v>
      </c>
      <c r="S122" s="76">
        <v>11.75</v>
      </c>
      <c r="T122" s="8">
        <v>9.3699999999999992</v>
      </c>
      <c r="U122" s="76">
        <v>150</v>
      </c>
      <c r="V122" s="76">
        <v>15.5</v>
      </c>
      <c r="X122" s="4">
        <v>119</v>
      </c>
    </row>
    <row r="123" spans="1:24">
      <c r="M123" s="14" t="s">
        <v>194</v>
      </c>
      <c r="N123" s="76">
        <v>26.5</v>
      </c>
      <c r="O123" s="76">
        <v>10.7</v>
      </c>
      <c r="P123" s="76">
        <v>35</v>
      </c>
      <c r="S123" s="76">
        <v>13.55</v>
      </c>
      <c r="T123" s="8">
        <v>9.4</v>
      </c>
      <c r="U123" s="76">
        <v>155</v>
      </c>
      <c r="V123" s="76">
        <v>17.2</v>
      </c>
      <c r="X123" s="4">
        <v>120</v>
      </c>
    </row>
    <row r="124" spans="1:24">
      <c r="L124" s="5">
        <f t="shared" si="20"/>
        <v>1839</v>
      </c>
      <c r="M124" s="14" t="s">
        <v>96</v>
      </c>
      <c r="N124" s="76">
        <v>27.5</v>
      </c>
      <c r="O124" s="76">
        <v>10.68</v>
      </c>
      <c r="P124" s="76">
        <v>34</v>
      </c>
      <c r="S124" s="76">
        <v>13.25</v>
      </c>
      <c r="T124" s="8">
        <v>8.8699999999999992</v>
      </c>
      <c r="U124" s="76">
        <v>195</v>
      </c>
      <c r="V124" s="76">
        <v>16</v>
      </c>
      <c r="X124" s="4">
        <v>121</v>
      </c>
    </row>
    <row r="125" spans="1:24">
      <c r="M125" s="14" t="s">
        <v>97</v>
      </c>
      <c r="N125" s="76">
        <v>29.75</v>
      </c>
      <c r="O125" s="76">
        <v>11.25</v>
      </c>
      <c r="P125" s="76">
        <v>37.369999999999997</v>
      </c>
      <c r="S125" s="76">
        <v>15.25</v>
      </c>
      <c r="T125" s="9">
        <v>10.5</v>
      </c>
      <c r="U125" s="76">
        <v>237.5</v>
      </c>
      <c r="V125" s="76">
        <v>17.5</v>
      </c>
      <c r="X125" s="4">
        <v>122</v>
      </c>
    </row>
    <row r="126" spans="1:24">
      <c r="M126" s="14" t="s">
        <v>130</v>
      </c>
      <c r="N126" s="76">
        <v>32.869999999999997</v>
      </c>
      <c r="O126" s="76">
        <v>12.37</v>
      </c>
      <c r="P126" s="76">
        <v>39</v>
      </c>
      <c r="S126" s="76">
        <v>17.63</v>
      </c>
      <c r="T126" s="8">
        <v>12.37</v>
      </c>
      <c r="U126" s="76">
        <v>262.5</v>
      </c>
      <c r="V126" s="76">
        <v>21.63</v>
      </c>
      <c r="X126" s="4">
        <v>123</v>
      </c>
    </row>
    <row r="127" spans="1:24">
      <c r="M127" s="14" t="s">
        <v>131</v>
      </c>
      <c r="N127" s="76">
        <v>32.25</v>
      </c>
      <c r="O127" s="76">
        <v>12.9</v>
      </c>
      <c r="P127" s="76">
        <v>38.5</v>
      </c>
      <c r="S127" s="76">
        <v>16.88</v>
      </c>
      <c r="T127" s="8">
        <v>12.4</v>
      </c>
      <c r="U127" s="76">
        <v>250</v>
      </c>
      <c r="V127" s="76">
        <v>20</v>
      </c>
      <c r="X127" s="4">
        <v>124</v>
      </c>
    </row>
    <row r="128" spans="1:24">
      <c r="M128" s="14" t="s">
        <v>132</v>
      </c>
      <c r="N128" s="76">
        <v>30.4</v>
      </c>
      <c r="O128" s="76">
        <v>12.43</v>
      </c>
      <c r="P128" s="76">
        <v>36.75</v>
      </c>
      <c r="S128" s="76">
        <v>16</v>
      </c>
      <c r="T128" s="8">
        <v>12.12</v>
      </c>
      <c r="U128" s="76">
        <v>247.5</v>
      </c>
      <c r="V128" s="76">
        <v>18.25</v>
      </c>
      <c r="X128" s="4">
        <v>125</v>
      </c>
    </row>
    <row r="129" spans="12:24">
      <c r="M129" s="14" t="s">
        <v>133</v>
      </c>
      <c r="N129" s="76">
        <v>30</v>
      </c>
      <c r="O129" s="76">
        <v>12.68</v>
      </c>
      <c r="P129" s="76">
        <v>37</v>
      </c>
      <c r="S129" s="76">
        <v>16.3</v>
      </c>
      <c r="T129" s="8">
        <v>12.5</v>
      </c>
      <c r="U129" s="76">
        <v>253</v>
      </c>
      <c r="V129" s="76">
        <v>17</v>
      </c>
      <c r="X129" s="4">
        <v>126</v>
      </c>
    </row>
    <row r="130" spans="12:24">
      <c r="M130" s="14" t="s">
        <v>134</v>
      </c>
      <c r="N130" s="76">
        <v>31</v>
      </c>
      <c r="O130" s="76">
        <v>13.1</v>
      </c>
      <c r="P130" s="76">
        <v>37.299999999999997</v>
      </c>
      <c r="S130" s="76">
        <v>16.38</v>
      </c>
      <c r="T130" s="8">
        <v>13.4</v>
      </c>
      <c r="U130" s="76">
        <v>240</v>
      </c>
      <c r="V130" s="76">
        <v>16.88</v>
      </c>
      <c r="X130" s="4">
        <v>127</v>
      </c>
    </row>
    <row r="131" spans="12:24">
      <c r="M131" s="14" t="s">
        <v>135</v>
      </c>
      <c r="N131" s="76">
        <v>30.5</v>
      </c>
      <c r="O131" s="76">
        <v>13</v>
      </c>
      <c r="P131" s="76">
        <v>37.5</v>
      </c>
      <c r="S131" s="76">
        <v>16</v>
      </c>
      <c r="T131" s="8">
        <v>13.75</v>
      </c>
      <c r="U131" s="76">
        <v>281.25</v>
      </c>
      <c r="V131" s="76">
        <v>17.3</v>
      </c>
      <c r="X131" s="4">
        <v>128</v>
      </c>
    </row>
    <row r="132" spans="12:24">
      <c r="M132" s="14" t="s">
        <v>136</v>
      </c>
      <c r="N132" s="76">
        <v>30.25</v>
      </c>
      <c r="O132" s="76">
        <v>13</v>
      </c>
      <c r="P132" s="76">
        <v>37.75</v>
      </c>
      <c r="S132" s="76">
        <v>16.13</v>
      </c>
      <c r="T132" s="8">
        <v>13.25</v>
      </c>
      <c r="U132" s="76">
        <v>276.25</v>
      </c>
      <c r="V132" s="76">
        <v>17</v>
      </c>
      <c r="X132" s="4">
        <v>129</v>
      </c>
    </row>
    <row r="133" spans="12:24">
      <c r="M133" s="14" t="s">
        <v>192</v>
      </c>
      <c r="N133" s="76">
        <v>30.8</v>
      </c>
      <c r="O133" s="76">
        <v>13.7</v>
      </c>
      <c r="P133" s="76">
        <v>38.4</v>
      </c>
      <c r="S133" s="76">
        <v>16.3</v>
      </c>
      <c r="T133" s="8">
        <v>12.6</v>
      </c>
      <c r="U133" s="76">
        <v>275</v>
      </c>
      <c r="V133" s="76">
        <v>18.5</v>
      </c>
      <c r="X133" s="4">
        <v>130</v>
      </c>
    </row>
    <row r="134" spans="12:24">
      <c r="L134" s="6"/>
      <c r="M134" s="14" t="s">
        <v>193</v>
      </c>
      <c r="N134" s="76">
        <v>32.369999999999997</v>
      </c>
      <c r="O134" s="76">
        <v>14.5</v>
      </c>
      <c r="P134" s="76">
        <v>41.25</v>
      </c>
      <c r="S134" s="76">
        <v>17</v>
      </c>
      <c r="T134" s="8">
        <v>13.37</v>
      </c>
      <c r="U134" s="76">
        <v>300</v>
      </c>
      <c r="V134" s="76">
        <v>19.75</v>
      </c>
      <c r="X134" s="4">
        <v>131</v>
      </c>
    </row>
    <row r="135" spans="12:24">
      <c r="M135" s="14" t="s">
        <v>194</v>
      </c>
      <c r="N135" s="76">
        <v>32</v>
      </c>
      <c r="O135" s="76">
        <v>14</v>
      </c>
      <c r="P135" s="76">
        <v>41.5</v>
      </c>
      <c r="S135" s="76">
        <v>18</v>
      </c>
      <c r="T135" s="8">
        <v>13.4</v>
      </c>
      <c r="U135" s="76">
        <v>300</v>
      </c>
      <c r="V135" s="76">
        <v>19</v>
      </c>
      <c r="X135" s="4">
        <v>132</v>
      </c>
    </row>
    <row r="136" spans="12:24">
      <c r="L136" s="5">
        <f t="shared" si="20"/>
        <v>1840</v>
      </c>
      <c r="M136" s="14" t="s">
        <v>96</v>
      </c>
      <c r="N136" s="76">
        <v>32.369999999999997</v>
      </c>
      <c r="O136" s="76">
        <v>14.25</v>
      </c>
      <c r="P136" s="76">
        <v>43.25</v>
      </c>
      <c r="Q136" s="76"/>
      <c r="R136" s="76"/>
      <c r="S136" s="76">
        <v>17</v>
      </c>
      <c r="T136" s="8">
        <v>14</v>
      </c>
      <c r="U136" s="76">
        <v>300</v>
      </c>
      <c r="V136" s="76">
        <v>20</v>
      </c>
      <c r="X136" s="4">
        <v>133</v>
      </c>
    </row>
    <row r="137" spans="12:24">
      <c r="M137" s="14" t="s">
        <v>97</v>
      </c>
      <c r="N137" s="76">
        <v>33.869999999999997</v>
      </c>
      <c r="O137" s="76">
        <v>14</v>
      </c>
      <c r="P137" s="76">
        <v>45.62</v>
      </c>
      <c r="Q137" s="76"/>
      <c r="R137" s="76"/>
      <c r="S137" s="76">
        <v>16.13</v>
      </c>
      <c r="T137" s="9">
        <v>13.75</v>
      </c>
      <c r="U137" s="76">
        <v>300</v>
      </c>
      <c r="V137" s="76">
        <v>22.13</v>
      </c>
      <c r="X137" s="4">
        <v>134</v>
      </c>
    </row>
    <row r="138" spans="12:24">
      <c r="M138" s="14" t="s">
        <v>130</v>
      </c>
      <c r="N138" s="76">
        <v>33.5</v>
      </c>
      <c r="O138" s="76">
        <v>14.2</v>
      </c>
      <c r="P138" s="76">
        <v>44.6</v>
      </c>
      <c r="Q138" s="76"/>
      <c r="R138" s="76"/>
      <c r="S138" s="76">
        <v>16.5</v>
      </c>
      <c r="T138" s="8">
        <v>12.75</v>
      </c>
      <c r="U138" s="76">
        <v>325</v>
      </c>
      <c r="V138" s="76">
        <v>22.3</v>
      </c>
      <c r="X138" s="4">
        <v>135</v>
      </c>
    </row>
    <row r="139" spans="12:24">
      <c r="M139" s="14" t="s">
        <v>131</v>
      </c>
      <c r="N139" s="76">
        <v>33.369999999999997</v>
      </c>
      <c r="O139" s="76">
        <v>16</v>
      </c>
      <c r="P139" s="76">
        <v>47</v>
      </c>
      <c r="Q139" s="76"/>
      <c r="R139" s="76"/>
      <c r="S139" s="76">
        <v>17.88</v>
      </c>
      <c r="T139" s="8">
        <v>14.25</v>
      </c>
      <c r="U139" s="76">
        <v>345</v>
      </c>
      <c r="V139" s="76">
        <v>23.63</v>
      </c>
      <c r="X139" s="4">
        <v>136</v>
      </c>
    </row>
    <row r="140" spans="12:24">
      <c r="M140" s="14" t="s">
        <v>132</v>
      </c>
      <c r="N140" s="76">
        <v>34</v>
      </c>
      <c r="O140" s="76">
        <v>16.5</v>
      </c>
      <c r="P140" s="76">
        <v>48.87</v>
      </c>
      <c r="Q140" s="76"/>
      <c r="R140" s="76"/>
      <c r="S140" s="76">
        <v>18.5</v>
      </c>
      <c r="T140" s="8">
        <v>14.5</v>
      </c>
      <c r="U140" s="76">
        <v>356.25</v>
      </c>
      <c r="V140" s="76">
        <v>24.5</v>
      </c>
      <c r="X140" s="4">
        <v>137</v>
      </c>
    </row>
    <row r="141" spans="12:24">
      <c r="M141" s="14" t="s">
        <v>133</v>
      </c>
      <c r="N141" s="76">
        <v>34.83</v>
      </c>
      <c r="O141" s="76">
        <v>17</v>
      </c>
      <c r="P141" s="76">
        <v>50.7</v>
      </c>
      <c r="Q141" s="76"/>
      <c r="R141" s="76"/>
      <c r="S141" s="76">
        <v>20.5</v>
      </c>
      <c r="T141" s="8">
        <v>15.3</v>
      </c>
      <c r="U141" s="76">
        <v>381.25</v>
      </c>
      <c r="V141" s="105">
        <f>V140+(V140*(RATE(($X$143-$X$140),0,V$140,-V$143)))</f>
        <v>26.919800883434124</v>
      </c>
      <c r="X141" s="4">
        <v>138</v>
      </c>
    </row>
    <row r="142" spans="12:24">
      <c r="M142" s="14" t="s">
        <v>134</v>
      </c>
      <c r="N142" s="105">
        <f>N141+(N141*(RATE(($X$143-$X$141),0,N$141,-N$143)))</f>
        <v>43.768139096836137</v>
      </c>
      <c r="O142" s="76">
        <v>21.12</v>
      </c>
      <c r="P142" s="76">
        <v>63.87</v>
      </c>
      <c r="Q142" s="76"/>
      <c r="R142" s="76"/>
      <c r="S142" s="76">
        <v>26.25</v>
      </c>
      <c r="T142" s="8">
        <v>18.5</v>
      </c>
      <c r="U142" s="76">
        <v>470</v>
      </c>
      <c r="V142" s="105">
        <f>V141+(V141*(RATE(($X$143-$X$140),0,V$140,-V$143)))</f>
        <v>29.578599167499618</v>
      </c>
      <c r="X142" s="4">
        <v>139</v>
      </c>
    </row>
    <row r="143" spans="12:24">
      <c r="M143" s="14" t="s">
        <v>135</v>
      </c>
      <c r="N143" s="76">
        <v>55</v>
      </c>
      <c r="O143" s="76">
        <v>23.25</v>
      </c>
      <c r="P143" s="76">
        <v>67</v>
      </c>
      <c r="Q143" s="76">
        <v>56.25</v>
      </c>
      <c r="R143" s="76">
        <v>61</v>
      </c>
      <c r="S143" s="76">
        <v>29.12</v>
      </c>
      <c r="T143" s="8">
        <v>19.62</v>
      </c>
      <c r="U143" s="76">
        <v>462.5</v>
      </c>
      <c r="V143" s="76">
        <v>32.5</v>
      </c>
      <c r="X143" s="4">
        <v>140</v>
      </c>
    </row>
    <row r="144" spans="12:24">
      <c r="M144" s="14" t="s">
        <v>136</v>
      </c>
      <c r="N144" s="76">
        <v>48.75</v>
      </c>
      <c r="O144" s="76">
        <v>21</v>
      </c>
      <c r="Q144" s="76">
        <v>50.2</v>
      </c>
      <c r="R144" s="76">
        <v>56.8</v>
      </c>
      <c r="S144" s="76">
        <v>27.9</v>
      </c>
      <c r="T144" s="8">
        <v>18.8</v>
      </c>
      <c r="U144" s="76">
        <v>368.75</v>
      </c>
      <c r="V144" s="76">
        <v>32.5</v>
      </c>
      <c r="X144" s="4">
        <v>141</v>
      </c>
    </row>
    <row r="145" spans="12:24">
      <c r="M145" s="14" t="s">
        <v>192</v>
      </c>
      <c r="N145" s="76">
        <v>43.5</v>
      </c>
      <c r="O145" s="76">
        <v>19.5</v>
      </c>
      <c r="Q145" s="76">
        <v>46.5</v>
      </c>
      <c r="R145" s="76">
        <v>52.5</v>
      </c>
      <c r="S145" s="76">
        <v>26</v>
      </c>
      <c r="T145" s="8">
        <v>16.62</v>
      </c>
      <c r="U145" s="76">
        <v>310</v>
      </c>
      <c r="V145" s="76">
        <v>31.5</v>
      </c>
      <c r="X145" s="4">
        <v>142</v>
      </c>
    </row>
    <row r="146" spans="12:24">
      <c r="L146" s="6"/>
      <c r="M146" s="14" t="s">
        <v>193</v>
      </c>
      <c r="N146" s="76">
        <v>48</v>
      </c>
      <c r="O146" s="76">
        <v>20.100000000000001</v>
      </c>
      <c r="Q146" s="76">
        <v>44.2</v>
      </c>
      <c r="R146" s="76">
        <v>48.9</v>
      </c>
      <c r="S146" s="76">
        <v>26</v>
      </c>
      <c r="T146" s="8">
        <v>17</v>
      </c>
      <c r="U146" s="76">
        <v>309</v>
      </c>
      <c r="V146" s="76">
        <v>34.75</v>
      </c>
      <c r="X146" s="4">
        <v>143</v>
      </c>
    </row>
    <row r="147" spans="12:24">
      <c r="M147" s="14" t="s">
        <v>194</v>
      </c>
      <c r="N147" s="76">
        <v>57.62</v>
      </c>
      <c r="O147" s="76">
        <v>22</v>
      </c>
      <c r="Q147" s="76">
        <v>51</v>
      </c>
      <c r="R147" s="76">
        <v>63.87</v>
      </c>
      <c r="S147" s="76">
        <v>27.5</v>
      </c>
      <c r="T147" s="8">
        <v>14.7</v>
      </c>
      <c r="U147" s="76">
        <v>350</v>
      </c>
      <c r="V147" s="76">
        <v>37.5</v>
      </c>
      <c r="X147" s="4">
        <v>144</v>
      </c>
    </row>
    <row r="148" spans="12:24">
      <c r="L148" s="5">
        <f t="shared" si="20"/>
        <v>1841</v>
      </c>
      <c r="M148" s="14" t="s">
        <v>96</v>
      </c>
      <c r="N148" s="76">
        <v>61.87</v>
      </c>
      <c r="O148" s="76">
        <v>24.5</v>
      </c>
      <c r="Q148" s="76">
        <v>58.12</v>
      </c>
      <c r="R148" s="76">
        <v>71.099999999999994</v>
      </c>
      <c r="S148" s="76">
        <v>30.63</v>
      </c>
      <c r="T148" s="8">
        <v>16.829999999999998</v>
      </c>
      <c r="U148" s="76">
        <v>370</v>
      </c>
      <c r="V148" s="11">
        <v>37.5</v>
      </c>
      <c r="X148" s="4">
        <v>145</v>
      </c>
    </row>
    <row r="149" spans="12:24">
      <c r="M149" s="14" t="s">
        <v>97</v>
      </c>
      <c r="N149" s="76">
        <v>57.3</v>
      </c>
      <c r="O149" s="76">
        <v>25.12</v>
      </c>
      <c r="Q149" s="76">
        <v>61.62</v>
      </c>
      <c r="R149" s="76">
        <v>69.87</v>
      </c>
      <c r="S149" s="76">
        <v>32.25</v>
      </c>
      <c r="T149" s="9">
        <v>17.7</v>
      </c>
      <c r="U149" s="76">
        <v>350</v>
      </c>
      <c r="V149" s="11">
        <v>38.75</v>
      </c>
      <c r="X149" s="4">
        <v>146</v>
      </c>
    </row>
    <row r="150" spans="12:24">
      <c r="M150" s="14" t="s">
        <v>130</v>
      </c>
      <c r="N150" s="76">
        <v>54.75</v>
      </c>
      <c r="O150" s="76">
        <v>23.95</v>
      </c>
      <c r="Q150" s="76">
        <v>61</v>
      </c>
      <c r="R150" s="76">
        <v>67.099999999999994</v>
      </c>
      <c r="S150" s="76">
        <v>29.75</v>
      </c>
      <c r="T150" s="8">
        <v>19.37</v>
      </c>
      <c r="U150" s="76">
        <v>350</v>
      </c>
      <c r="V150" s="11">
        <v>42.5</v>
      </c>
      <c r="X150" s="4">
        <v>147</v>
      </c>
    </row>
    <row r="151" spans="12:24">
      <c r="M151" s="14" t="s">
        <v>131</v>
      </c>
      <c r="N151" s="76">
        <v>54.75</v>
      </c>
      <c r="O151" s="76">
        <v>24.12</v>
      </c>
      <c r="Q151" s="76">
        <v>62.87</v>
      </c>
      <c r="R151" s="76">
        <v>69</v>
      </c>
      <c r="S151" s="76">
        <v>28.75</v>
      </c>
      <c r="T151" s="8">
        <v>20</v>
      </c>
      <c r="U151" s="76">
        <v>350</v>
      </c>
      <c r="V151" s="11">
        <v>37.5</v>
      </c>
      <c r="X151" s="4">
        <v>148</v>
      </c>
    </row>
    <row r="152" spans="12:24">
      <c r="M152" s="14" t="s">
        <v>132</v>
      </c>
      <c r="N152" s="76">
        <v>51.5</v>
      </c>
      <c r="O152" s="76">
        <v>24.5</v>
      </c>
      <c r="Q152" s="76">
        <v>59.75</v>
      </c>
      <c r="R152" s="76">
        <v>66.75</v>
      </c>
      <c r="S152" s="76">
        <v>30.1</v>
      </c>
      <c r="T152" s="8">
        <v>19.87</v>
      </c>
      <c r="U152" s="76">
        <v>350</v>
      </c>
      <c r="V152" s="11">
        <v>33.130000000000003</v>
      </c>
      <c r="X152" s="4">
        <v>149</v>
      </c>
    </row>
    <row r="153" spans="12:24">
      <c r="M153" s="14" t="s">
        <v>133</v>
      </c>
      <c r="N153" s="76">
        <v>52.4</v>
      </c>
      <c r="O153" s="76">
        <v>24</v>
      </c>
      <c r="Q153" s="76">
        <v>61</v>
      </c>
      <c r="R153" s="76">
        <v>67.099999999999994</v>
      </c>
      <c r="S153" s="76">
        <v>31</v>
      </c>
      <c r="T153" s="8">
        <v>20.6</v>
      </c>
      <c r="U153" s="76">
        <v>406</v>
      </c>
      <c r="V153" s="11">
        <v>29.5</v>
      </c>
      <c r="X153" s="4">
        <v>150</v>
      </c>
    </row>
    <row r="154" spans="12:24">
      <c r="M154" s="14" t="s">
        <v>134</v>
      </c>
      <c r="N154" s="76">
        <v>54.12</v>
      </c>
      <c r="O154" s="76">
        <v>24.75</v>
      </c>
      <c r="Q154" s="76">
        <v>63.62</v>
      </c>
      <c r="R154" s="76">
        <v>68</v>
      </c>
      <c r="S154" s="76">
        <v>32.1</v>
      </c>
      <c r="T154" s="8">
        <v>21.5</v>
      </c>
      <c r="U154" s="76">
        <v>470</v>
      </c>
      <c r="V154" s="11">
        <v>32.5</v>
      </c>
      <c r="X154" s="4">
        <v>151</v>
      </c>
    </row>
    <row r="155" spans="12:24">
      <c r="M155" s="14" t="s">
        <v>135</v>
      </c>
      <c r="N155" s="76">
        <v>55.6</v>
      </c>
      <c r="O155" s="76">
        <v>26.1</v>
      </c>
      <c r="Q155" s="76">
        <v>64.900000000000006</v>
      </c>
      <c r="R155" s="76">
        <v>68.099999999999994</v>
      </c>
      <c r="S155" s="76">
        <v>33.119999999999997</v>
      </c>
      <c r="T155" s="8">
        <v>21</v>
      </c>
      <c r="U155" s="76">
        <v>406</v>
      </c>
      <c r="V155" s="11">
        <v>35</v>
      </c>
      <c r="X155" s="4">
        <v>152</v>
      </c>
    </row>
    <row r="156" spans="12:24">
      <c r="M156" s="14" t="s">
        <v>136</v>
      </c>
      <c r="N156" s="76">
        <v>57.25</v>
      </c>
      <c r="O156" s="76">
        <v>27.5</v>
      </c>
      <c r="Q156" s="76">
        <v>65.5</v>
      </c>
      <c r="R156" s="76">
        <v>68.87</v>
      </c>
      <c r="S156" s="76">
        <v>33.630000000000003</v>
      </c>
      <c r="T156" s="8">
        <v>21</v>
      </c>
      <c r="U156" s="76">
        <v>387.5</v>
      </c>
      <c r="V156" s="11">
        <v>36.25</v>
      </c>
      <c r="X156" s="4">
        <v>153</v>
      </c>
    </row>
    <row r="157" spans="12:24">
      <c r="M157" s="14" t="s">
        <v>192</v>
      </c>
      <c r="N157" s="76">
        <v>55.5</v>
      </c>
      <c r="O157" s="76">
        <v>27.12</v>
      </c>
      <c r="Q157" s="76">
        <v>63.37</v>
      </c>
      <c r="R157" s="76">
        <v>66.37</v>
      </c>
      <c r="S157" s="76">
        <v>32.1</v>
      </c>
      <c r="T157" s="8">
        <v>22.75</v>
      </c>
      <c r="U157" s="76">
        <v>420</v>
      </c>
      <c r="V157" s="11">
        <v>32.630000000000003</v>
      </c>
      <c r="X157" s="4">
        <v>154</v>
      </c>
    </row>
    <row r="158" spans="12:24">
      <c r="L158" s="6"/>
      <c r="M158" s="14" t="s">
        <v>193</v>
      </c>
      <c r="N158" s="76">
        <v>54</v>
      </c>
      <c r="O158" s="76">
        <v>25.6</v>
      </c>
      <c r="Q158" s="76">
        <v>61.6</v>
      </c>
      <c r="R158" s="76">
        <v>64.5</v>
      </c>
      <c r="S158" s="76">
        <v>31.2</v>
      </c>
      <c r="T158" s="8">
        <v>23.3</v>
      </c>
      <c r="U158" s="76">
        <v>431.25</v>
      </c>
      <c r="V158" s="11">
        <v>28.5</v>
      </c>
      <c r="X158" s="4">
        <v>155</v>
      </c>
    </row>
    <row r="159" spans="12:24">
      <c r="M159" s="14" t="s">
        <v>194</v>
      </c>
      <c r="N159" s="76">
        <v>50.62</v>
      </c>
      <c r="O159" s="76">
        <v>24.37</v>
      </c>
      <c r="Q159" s="76">
        <v>58.75</v>
      </c>
      <c r="R159" s="76">
        <v>61</v>
      </c>
      <c r="S159" s="76">
        <v>29</v>
      </c>
      <c r="T159" s="8">
        <v>23</v>
      </c>
      <c r="U159" s="76">
        <v>387.5</v>
      </c>
      <c r="V159" s="11">
        <v>28.13</v>
      </c>
      <c r="X159" s="4">
        <v>156</v>
      </c>
    </row>
    <row r="160" spans="12:24">
      <c r="L160" s="5">
        <f t="shared" ref="L160:L220" si="21">L148+1</f>
        <v>1842</v>
      </c>
      <c r="M160" s="14" t="s">
        <v>96</v>
      </c>
      <c r="N160" s="76">
        <v>52.37</v>
      </c>
      <c r="O160" s="76">
        <v>24.12</v>
      </c>
      <c r="Q160" s="76">
        <v>60.37</v>
      </c>
      <c r="R160" s="76">
        <v>62.87</v>
      </c>
      <c r="S160" s="76">
        <v>29.75</v>
      </c>
      <c r="T160" s="8">
        <v>22.25</v>
      </c>
      <c r="U160" s="76">
        <v>350</v>
      </c>
      <c r="V160" s="11">
        <v>22.5</v>
      </c>
      <c r="X160" s="4">
        <v>157</v>
      </c>
    </row>
    <row r="161" spans="12:24">
      <c r="M161" s="14" t="s">
        <v>97</v>
      </c>
      <c r="N161" s="76">
        <v>51.75</v>
      </c>
      <c r="O161" s="76">
        <v>22</v>
      </c>
      <c r="Q161" s="76">
        <v>59</v>
      </c>
      <c r="R161" s="76">
        <v>62.25</v>
      </c>
      <c r="S161" s="76">
        <v>29.75</v>
      </c>
      <c r="T161" s="9">
        <v>22.2</v>
      </c>
      <c r="U161" s="76">
        <v>350</v>
      </c>
      <c r="V161" s="11">
        <v>20.5</v>
      </c>
      <c r="X161" s="4">
        <v>158</v>
      </c>
    </row>
    <row r="162" spans="12:24">
      <c r="M162" s="14" t="s">
        <v>130</v>
      </c>
      <c r="N162" s="76">
        <v>51.8</v>
      </c>
      <c r="O162" s="76">
        <v>19.7</v>
      </c>
      <c r="Q162" s="76">
        <v>57.6</v>
      </c>
      <c r="R162" s="76">
        <v>61.6</v>
      </c>
      <c r="S162" s="76">
        <v>30</v>
      </c>
      <c r="T162" s="8">
        <v>22</v>
      </c>
      <c r="U162" s="76">
        <v>350</v>
      </c>
      <c r="V162" s="11">
        <v>20</v>
      </c>
      <c r="X162" s="4">
        <v>159</v>
      </c>
    </row>
    <row r="163" spans="12:24">
      <c r="M163" s="14" t="s">
        <v>131</v>
      </c>
      <c r="N163" s="76">
        <v>51.5</v>
      </c>
      <c r="O163" s="76">
        <v>20.25</v>
      </c>
      <c r="Q163" s="76">
        <v>60</v>
      </c>
      <c r="R163" s="76">
        <v>63</v>
      </c>
      <c r="S163" s="76">
        <v>31.5</v>
      </c>
      <c r="T163" s="8">
        <v>23</v>
      </c>
      <c r="U163" s="76">
        <v>355</v>
      </c>
      <c r="V163" s="11">
        <v>20</v>
      </c>
      <c r="X163" s="4">
        <v>160</v>
      </c>
    </row>
    <row r="164" spans="12:24">
      <c r="M164" s="14" t="s">
        <v>132</v>
      </c>
      <c r="N164" s="76">
        <v>50.3</v>
      </c>
      <c r="O164" s="76">
        <v>19.399999999999999</v>
      </c>
      <c r="Q164" s="76">
        <v>55.5</v>
      </c>
      <c r="R164" s="76">
        <v>60.9</v>
      </c>
      <c r="S164" s="76">
        <v>33.5</v>
      </c>
      <c r="T164" s="8">
        <v>21.5</v>
      </c>
      <c r="U164" s="76">
        <v>312.5</v>
      </c>
      <c r="V164" s="11">
        <v>20</v>
      </c>
      <c r="X164" s="4">
        <v>161</v>
      </c>
    </row>
    <row r="165" spans="12:24">
      <c r="M165" s="14" t="s">
        <v>133</v>
      </c>
      <c r="N165" s="76">
        <v>48.62</v>
      </c>
      <c r="O165" s="76">
        <v>17.62</v>
      </c>
      <c r="Q165" s="76">
        <v>55.87</v>
      </c>
      <c r="R165" s="76">
        <v>60.5</v>
      </c>
      <c r="S165" s="76">
        <v>30.2</v>
      </c>
      <c r="T165" s="8">
        <v>22.6</v>
      </c>
      <c r="U165" s="76">
        <v>275</v>
      </c>
      <c r="V165" s="11">
        <v>20</v>
      </c>
      <c r="X165" s="4">
        <v>162</v>
      </c>
    </row>
    <row r="166" spans="12:24">
      <c r="M166" s="14" t="s">
        <v>134</v>
      </c>
      <c r="N166" s="76">
        <v>49.62</v>
      </c>
      <c r="O166" s="76">
        <v>18.37</v>
      </c>
      <c r="Q166" s="76">
        <v>56.37</v>
      </c>
      <c r="R166" s="76">
        <v>60.37</v>
      </c>
      <c r="S166" s="76">
        <v>30.63</v>
      </c>
      <c r="T166" s="8">
        <v>22.5</v>
      </c>
      <c r="U166" s="76">
        <v>275</v>
      </c>
      <c r="V166" s="11">
        <v>19.88</v>
      </c>
      <c r="X166" s="4">
        <v>163</v>
      </c>
    </row>
    <row r="167" spans="12:24">
      <c r="M167" s="14" t="s">
        <v>135</v>
      </c>
      <c r="N167" s="76">
        <v>52.7</v>
      </c>
      <c r="O167" s="76">
        <v>20.8</v>
      </c>
      <c r="Q167" s="76">
        <v>56.2</v>
      </c>
      <c r="R167" s="76">
        <v>61</v>
      </c>
      <c r="S167" s="76">
        <v>31.75</v>
      </c>
      <c r="T167" s="8">
        <v>22</v>
      </c>
      <c r="U167" s="76">
        <v>316.25</v>
      </c>
      <c r="V167" s="11">
        <v>20</v>
      </c>
      <c r="X167" s="4">
        <v>164</v>
      </c>
    </row>
    <row r="168" spans="12:24">
      <c r="M168" s="14" t="s">
        <v>136</v>
      </c>
      <c r="N168" s="76">
        <v>52.62</v>
      </c>
      <c r="O168" s="76">
        <v>21.87</v>
      </c>
      <c r="Q168" s="76">
        <v>56.75</v>
      </c>
      <c r="R168" s="76">
        <v>61</v>
      </c>
      <c r="S168" s="76">
        <v>32.75</v>
      </c>
      <c r="T168" s="8">
        <v>21.62</v>
      </c>
      <c r="U168" s="76">
        <v>287.5</v>
      </c>
      <c r="V168" s="11">
        <v>20</v>
      </c>
      <c r="X168" s="4">
        <v>165</v>
      </c>
    </row>
    <row r="169" spans="12:24">
      <c r="M169" s="14" t="s">
        <v>192</v>
      </c>
      <c r="N169" s="76">
        <v>51.25</v>
      </c>
      <c r="O169" s="76">
        <v>20.12</v>
      </c>
      <c r="Q169" s="76">
        <v>53.87</v>
      </c>
      <c r="R169" s="76">
        <v>57</v>
      </c>
      <c r="S169" s="76">
        <v>32.6</v>
      </c>
      <c r="T169" s="8">
        <v>21.37</v>
      </c>
      <c r="U169" s="76">
        <v>265</v>
      </c>
      <c r="V169" s="11">
        <v>20</v>
      </c>
      <c r="X169" s="4">
        <v>166</v>
      </c>
    </row>
    <row r="170" spans="12:24">
      <c r="L170" s="6"/>
      <c r="M170" s="14" t="s">
        <v>193</v>
      </c>
      <c r="N170" s="76">
        <v>50.9</v>
      </c>
      <c r="O170" s="76">
        <v>18.600000000000001</v>
      </c>
      <c r="Q170" s="76">
        <v>52.2</v>
      </c>
      <c r="R170" s="76">
        <v>56.3</v>
      </c>
      <c r="S170" s="76">
        <v>30.9</v>
      </c>
      <c r="T170" s="8">
        <v>19.87</v>
      </c>
      <c r="U170" s="76">
        <v>262.5</v>
      </c>
      <c r="V170" s="11">
        <v>20</v>
      </c>
      <c r="X170" s="4">
        <v>167</v>
      </c>
    </row>
    <row r="171" spans="12:24">
      <c r="M171" s="14" t="s">
        <v>194</v>
      </c>
      <c r="N171" s="76">
        <v>54</v>
      </c>
      <c r="O171" s="76">
        <v>18.600000000000001</v>
      </c>
      <c r="Q171" s="76">
        <v>53.4</v>
      </c>
      <c r="R171" s="76">
        <v>56.7</v>
      </c>
      <c r="S171" s="76">
        <v>30.3</v>
      </c>
      <c r="T171" s="8">
        <v>19</v>
      </c>
      <c r="U171" s="76">
        <v>240</v>
      </c>
      <c r="V171" s="11">
        <v>21.8</v>
      </c>
      <c r="X171" s="4">
        <v>168</v>
      </c>
    </row>
    <row r="172" spans="12:24">
      <c r="L172" s="5">
        <f t="shared" si="21"/>
        <v>1843</v>
      </c>
      <c r="M172" s="14" t="s">
        <v>96</v>
      </c>
      <c r="N172" s="76">
        <v>53.8</v>
      </c>
      <c r="O172" s="76">
        <v>18.37</v>
      </c>
      <c r="Q172" s="76">
        <v>54.37</v>
      </c>
      <c r="R172" s="76">
        <v>57.75</v>
      </c>
      <c r="S172" s="76">
        <v>20</v>
      </c>
      <c r="T172" s="8">
        <v>19.329999999999998</v>
      </c>
      <c r="U172" s="76">
        <v>243.75</v>
      </c>
      <c r="V172" s="11">
        <v>23</v>
      </c>
      <c r="X172" s="4">
        <v>169</v>
      </c>
    </row>
    <row r="173" spans="12:24">
      <c r="M173" s="14" t="s">
        <v>97</v>
      </c>
      <c r="N173" s="76">
        <v>51</v>
      </c>
      <c r="O173" s="76">
        <v>17</v>
      </c>
      <c r="Q173" s="76">
        <v>53.5</v>
      </c>
      <c r="R173" s="76">
        <v>56.5</v>
      </c>
      <c r="S173" s="76">
        <v>20.25</v>
      </c>
      <c r="T173" s="9">
        <v>19.5</v>
      </c>
      <c r="U173" s="76">
        <v>250</v>
      </c>
      <c r="V173" s="11">
        <v>23</v>
      </c>
      <c r="X173" s="4">
        <v>170</v>
      </c>
    </row>
    <row r="174" spans="12:24">
      <c r="M174" s="14" t="s">
        <v>130</v>
      </c>
      <c r="N174" s="76">
        <v>50.87</v>
      </c>
      <c r="O174" s="76">
        <v>17.25</v>
      </c>
      <c r="Q174" s="76">
        <v>53</v>
      </c>
      <c r="R174" s="76">
        <v>56.37</v>
      </c>
      <c r="S174" s="76">
        <v>20.25</v>
      </c>
      <c r="T174" s="8">
        <v>19.25</v>
      </c>
      <c r="U174" s="76">
        <v>231.25</v>
      </c>
      <c r="V174" s="11">
        <v>33</v>
      </c>
      <c r="X174" s="4">
        <v>171</v>
      </c>
    </row>
    <row r="175" spans="12:24">
      <c r="M175" s="14" t="s">
        <v>131</v>
      </c>
      <c r="N175" s="76">
        <v>49.4</v>
      </c>
      <c r="O175" s="76">
        <v>17.87</v>
      </c>
      <c r="Q175" s="76">
        <v>51.75</v>
      </c>
      <c r="R175" s="76">
        <v>56.12</v>
      </c>
      <c r="S175" s="76">
        <v>20</v>
      </c>
      <c r="T175" s="8">
        <v>19</v>
      </c>
      <c r="U175" s="76">
        <v>225</v>
      </c>
      <c r="V175" s="11">
        <v>45</v>
      </c>
      <c r="X175" s="4">
        <v>172</v>
      </c>
    </row>
    <row r="176" spans="12:24">
      <c r="M176" s="14" t="s">
        <v>132</v>
      </c>
      <c r="N176" s="76">
        <v>50.37</v>
      </c>
      <c r="O176" s="76">
        <v>17.600000000000001</v>
      </c>
      <c r="Q176" s="76">
        <v>52.8</v>
      </c>
      <c r="R176" s="76">
        <v>56.7</v>
      </c>
      <c r="S176" s="76">
        <v>20</v>
      </c>
      <c r="T176" s="8">
        <v>19.5</v>
      </c>
      <c r="U176" s="76">
        <v>225</v>
      </c>
      <c r="V176" s="11">
        <v>48.13</v>
      </c>
      <c r="X176" s="4">
        <v>173</v>
      </c>
    </row>
    <row r="177" spans="12:24">
      <c r="M177" s="14" t="s">
        <v>133</v>
      </c>
      <c r="N177" s="76">
        <v>52</v>
      </c>
      <c r="O177" s="76">
        <v>18.25</v>
      </c>
      <c r="Q177" s="76">
        <v>54.5</v>
      </c>
      <c r="R177" s="76">
        <v>58.62</v>
      </c>
      <c r="S177" s="76">
        <v>20.75</v>
      </c>
      <c r="T177" s="8">
        <v>20.87</v>
      </c>
      <c r="U177" s="76">
        <v>212.5</v>
      </c>
      <c r="V177" s="11">
        <v>51.25</v>
      </c>
      <c r="X177" s="4">
        <v>174</v>
      </c>
    </row>
    <row r="178" spans="12:24">
      <c r="M178" s="14" t="s">
        <v>134</v>
      </c>
      <c r="N178" s="76">
        <v>52.12</v>
      </c>
      <c r="O178" s="76">
        <v>19</v>
      </c>
      <c r="Q178" s="76">
        <v>55.16</v>
      </c>
      <c r="R178" s="76">
        <v>60.8</v>
      </c>
      <c r="S178" s="76">
        <v>21.9</v>
      </c>
      <c r="T178" s="8">
        <v>22.5</v>
      </c>
      <c r="U178" s="76">
        <v>215</v>
      </c>
      <c r="V178" s="11">
        <v>52.5</v>
      </c>
      <c r="X178" s="4">
        <v>175</v>
      </c>
    </row>
    <row r="179" spans="12:24">
      <c r="M179" s="14" t="s">
        <v>135</v>
      </c>
      <c r="N179" s="76">
        <v>49.8</v>
      </c>
      <c r="O179" s="76">
        <v>18.600000000000001</v>
      </c>
      <c r="Q179" s="76">
        <v>55.8</v>
      </c>
      <c r="R179" s="76">
        <v>60.2</v>
      </c>
      <c r="S179" s="76">
        <v>21</v>
      </c>
      <c r="T179" s="8">
        <v>23.8</v>
      </c>
      <c r="U179" s="76">
        <v>231.25</v>
      </c>
      <c r="V179" s="11">
        <v>43.5</v>
      </c>
      <c r="X179" s="4">
        <v>176</v>
      </c>
    </row>
    <row r="180" spans="12:24">
      <c r="M180" s="14" t="s">
        <v>136</v>
      </c>
      <c r="N180" s="76">
        <v>50.87</v>
      </c>
      <c r="O180" s="76">
        <v>17.75</v>
      </c>
      <c r="Q180" s="76">
        <v>55.12</v>
      </c>
      <c r="R180" s="76">
        <v>59</v>
      </c>
      <c r="S180" s="76">
        <v>17.8</v>
      </c>
      <c r="T180" s="8">
        <v>25.25</v>
      </c>
      <c r="U180" s="76">
        <v>256</v>
      </c>
      <c r="V180" s="11">
        <v>36.25</v>
      </c>
      <c r="X180" s="4">
        <v>177</v>
      </c>
    </row>
    <row r="181" spans="12:24">
      <c r="M181" s="14" t="s">
        <v>192</v>
      </c>
      <c r="N181" s="76">
        <v>54.1</v>
      </c>
      <c r="O181" s="76">
        <v>19</v>
      </c>
      <c r="Q181" s="76">
        <v>57.1</v>
      </c>
      <c r="R181" s="76">
        <v>59</v>
      </c>
      <c r="S181" s="76">
        <v>17.5</v>
      </c>
      <c r="T181" s="8">
        <v>25</v>
      </c>
      <c r="U181" s="76">
        <v>250</v>
      </c>
      <c r="V181" s="11">
        <v>32.5</v>
      </c>
      <c r="X181" s="4">
        <v>178</v>
      </c>
    </row>
    <row r="182" spans="12:24">
      <c r="L182" s="6"/>
      <c r="M182" s="14" t="s">
        <v>193</v>
      </c>
      <c r="N182" s="76">
        <v>58.25</v>
      </c>
      <c r="O182" s="76">
        <v>20.5</v>
      </c>
      <c r="Q182" s="76">
        <v>56.25</v>
      </c>
      <c r="R182" s="76">
        <v>57.37</v>
      </c>
      <c r="S182" s="76">
        <v>19</v>
      </c>
      <c r="T182" s="8">
        <v>24</v>
      </c>
      <c r="U182" s="76">
        <v>250</v>
      </c>
      <c r="V182" s="11">
        <v>32.67</v>
      </c>
      <c r="X182" s="4">
        <v>179</v>
      </c>
    </row>
    <row r="183" spans="12:24">
      <c r="M183" s="14" t="s">
        <v>194</v>
      </c>
      <c r="N183" s="76">
        <v>55.75</v>
      </c>
      <c r="O183" s="76">
        <v>19.3</v>
      </c>
      <c r="Q183" s="76">
        <v>53.7</v>
      </c>
      <c r="R183" s="76">
        <v>56.6</v>
      </c>
      <c r="S183" s="76">
        <v>18.739999999999998</v>
      </c>
      <c r="T183" s="8">
        <v>23</v>
      </c>
      <c r="U183" s="76">
        <v>250</v>
      </c>
      <c r="V183" s="11">
        <v>32.5</v>
      </c>
      <c r="X183" s="4">
        <v>180</v>
      </c>
    </row>
    <row r="184" spans="12:24">
      <c r="L184" s="5">
        <f t="shared" si="21"/>
        <v>1844</v>
      </c>
      <c r="M184" s="14" t="s">
        <v>96</v>
      </c>
      <c r="N184" s="76">
        <v>49.8</v>
      </c>
      <c r="O184" s="76">
        <v>16.5</v>
      </c>
      <c r="Q184" s="76">
        <v>47.5</v>
      </c>
      <c r="R184" s="76">
        <v>53</v>
      </c>
      <c r="S184" s="76">
        <v>16.25</v>
      </c>
      <c r="T184" s="8">
        <v>20</v>
      </c>
      <c r="U184" s="76">
        <v>250</v>
      </c>
      <c r="V184" s="11">
        <v>24.5</v>
      </c>
      <c r="X184" s="4">
        <v>181</v>
      </c>
    </row>
    <row r="185" spans="12:24">
      <c r="M185" s="14" t="s">
        <v>97</v>
      </c>
      <c r="N185" s="76">
        <v>45.87</v>
      </c>
      <c r="O185" s="76">
        <v>17.37</v>
      </c>
      <c r="Q185" s="76">
        <v>49.5</v>
      </c>
      <c r="R185" s="76">
        <v>53</v>
      </c>
      <c r="S185" s="76">
        <v>15.5</v>
      </c>
      <c r="T185" s="9">
        <v>23.12</v>
      </c>
      <c r="U185" s="76">
        <v>250</v>
      </c>
      <c r="V185" s="11">
        <v>25.25</v>
      </c>
      <c r="X185" s="4">
        <v>182</v>
      </c>
    </row>
    <row r="186" spans="12:24">
      <c r="M186" s="14" t="s">
        <v>130</v>
      </c>
      <c r="N186" s="76">
        <v>43.5</v>
      </c>
      <c r="O186" s="76">
        <v>17.5</v>
      </c>
      <c r="Q186" s="76">
        <v>48.5</v>
      </c>
      <c r="R186" s="76">
        <v>51</v>
      </c>
      <c r="S186" s="76">
        <v>14</v>
      </c>
      <c r="T186" s="8">
        <v>25</v>
      </c>
      <c r="U186" s="76">
        <v>262.5</v>
      </c>
      <c r="V186" s="76">
        <v>21.5</v>
      </c>
      <c r="X186" s="4">
        <v>183</v>
      </c>
    </row>
    <row r="187" spans="12:24">
      <c r="M187" s="14" t="s">
        <v>131</v>
      </c>
      <c r="N187" s="76">
        <v>44.3</v>
      </c>
      <c r="O187" s="76">
        <v>16.899999999999999</v>
      </c>
      <c r="Q187" s="76">
        <v>46.3</v>
      </c>
      <c r="R187" s="76">
        <v>49.4</v>
      </c>
      <c r="S187" s="76">
        <v>14</v>
      </c>
      <c r="T187" s="8">
        <v>24.75</v>
      </c>
      <c r="U187" s="76">
        <v>247</v>
      </c>
      <c r="V187" s="76">
        <v>27.3</v>
      </c>
      <c r="X187" s="4">
        <v>184</v>
      </c>
    </row>
    <row r="188" spans="12:24">
      <c r="M188" s="14" t="s">
        <v>132</v>
      </c>
      <c r="N188" s="76">
        <v>45</v>
      </c>
      <c r="O188" s="76">
        <v>15.5</v>
      </c>
      <c r="Q188" s="76">
        <v>46</v>
      </c>
      <c r="R188" s="76">
        <v>49.25</v>
      </c>
      <c r="S188" s="76">
        <v>11.38</v>
      </c>
      <c r="T188" s="8">
        <v>25</v>
      </c>
      <c r="U188" s="76">
        <v>243.75</v>
      </c>
      <c r="V188" s="76">
        <v>29</v>
      </c>
      <c r="X188" s="4">
        <v>185</v>
      </c>
    </row>
    <row r="189" spans="12:24">
      <c r="M189" s="14" t="s">
        <v>133</v>
      </c>
      <c r="N189" s="76">
        <v>44.6</v>
      </c>
      <c r="O189" s="76">
        <v>16.75</v>
      </c>
      <c r="Q189" s="76">
        <v>45.5</v>
      </c>
      <c r="R189" s="76">
        <v>51.62</v>
      </c>
      <c r="S189" s="76">
        <v>10.75</v>
      </c>
      <c r="T189" s="8">
        <v>23.37</v>
      </c>
      <c r="U189" s="76">
        <v>225.63</v>
      </c>
      <c r="V189" s="11">
        <v>26</v>
      </c>
      <c r="X189" s="4">
        <v>186</v>
      </c>
    </row>
    <row r="190" spans="12:24">
      <c r="M190" s="14" t="s">
        <v>134</v>
      </c>
      <c r="N190" s="76">
        <v>43.37</v>
      </c>
      <c r="O190" s="76">
        <v>17.600000000000001</v>
      </c>
      <c r="Q190" s="76">
        <v>45.9</v>
      </c>
      <c r="R190" s="76">
        <v>51.8</v>
      </c>
      <c r="S190" s="76">
        <v>10.6</v>
      </c>
      <c r="T190" s="8">
        <v>24.5</v>
      </c>
      <c r="U190" s="76">
        <v>231.25</v>
      </c>
      <c r="V190" s="11">
        <v>22.1</v>
      </c>
      <c r="X190" s="4">
        <v>187</v>
      </c>
    </row>
    <row r="191" spans="12:24">
      <c r="M191" s="14" t="s">
        <v>135</v>
      </c>
      <c r="N191" s="76">
        <v>45.5</v>
      </c>
      <c r="O191" s="76">
        <v>19.75</v>
      </c>
      <c r="Q191" s="76">
        <v>47.25</v>
      </c>
      <c r="R191" s="76">
        <v>49.12</v>
      </c>
      <c r="S191" s="76">
        <v>11.7</v>
      </c>
      <c r="T191" s="8">
        <v>27.3</v>
      </c>
      <c r="U191" s="76">
        <v>225</v>
      </c>
      <c r="V191" s="11">
        <v>20.5</v>
      </c>
      <c r="X191" s="4">
        <v>188</v>
      </c>
    </row>
    <row r="192" spans="12:24">
      <c r="M192" s="14" t="s">
        <v>136</v>
      </c>
      <c r="N192" s="76">
        <v>45.5</v>
      </c>
      <c r="O192" s="76">
        <v>18.5</v>
      </c>
      <c r="Q192" s="76">
        <v>45.5</v>
      </c>
      <c r="R192" s="76">
        <v>49.5</v>
      </c>
      <c r="S192" s="76">
        <v>11.5</v>
      </c>
      <c r="T192" s="8">
        <v>27</v>
      </c>
      <c r="U192" s="76">
        <v>175</v>
      </c>
      <c r="V192" s="11">
        <v>23.63</v>
      </c>
      <c r="X192" s="4">
        <v>189</v>
      </c>
    </row>
    <row r="193" spans="12:24">
      <c r="M193" s="14" t="s">
        <v>192</v>
      </c>
      <c r="N193" s="76">
        <v>45.8</v>
      </c>
      <c r="O193" s="76">
        <v>17.899999999999999</v>
      </c>
      <c r="Q193" s="76">
        <v>43.87</v>
      </c>
      <c r="R193" s="76">
        <v>48.1</v>
      </c>
      <c r="S193" s="76">
        <v>11.5</v>
      </c>
      <c r="T193" s="8">
        <v>26.6</v>
      </c>
      <c r="U193" s="76">
        <v>175</v>
      </c>
      <c r="V193" s="11">
        <v>22</v>
      </c>
      <c r="X193" s="4">
        <v>190</v>
      </c>
    </row>
    <row r="194" spans="12:24">
      <c r="L194" s="6"/>
      <c r="M194" s="14" t="s">
        <v>193</v>
      </c>
      <c r="N194" s="76">
        <v>42</v>
      </c>
      <c r="O194" s="76">
        <v>15.75</v>
      </c>
      <c r="Q194" s="76">
        <v>39.5</v>
      </c>
      <c r="R194" s="76">
        <v>42.87</v>
      </c>
      <c r="S194" s="76">
        <v>8.5</v>
      </c>
      <c r="T194" s="8">
        <v>25.5</v>
      </c>
      <c r="U194" s="76">
        <v>175</v>
      </c>
      <c r="V194" s="11">
        <v>21.5</v>
      </c>
      <c r="X194" s="4">
        <v>191</v>
      </c>
    </row>
    <row r="195" spans="12:24">
      <c r="M195" s="14" t="s">
        <v>194</v>
      </c>
      <c r="N195" s="76">
        <v>41.8</v>
      </c>
      <c r="O195" s="76">
        <v>14.7</v>
      </c>
      <c r="Q195" s="76">
        <v>36.200000000000003</v>
      </c>
      <c r="R195" s="76">
        <v>43.3</v>
      </c>
      <c r="S195" s="76">
        <v>9.3000000000000007</v>
      </c>
      <c r="T195" s="8">
        <v>22</v>
      </c>
      <c r="U195" s="76">
        <v>175</v>
      </c>
      <c r="V195" s="11">
        <v>19.3</v>
      </c>
      <c r="X195" s="4">
        <v>192</v>
      </c>
    </row>
    <row r="196" spans="12:24">
      <c r="L196" s="5">
        <f t="shared" si="21"/>
        <v>1845</v>
      </c>
      <c r="M196" s="14" t="s">
        <v>96</v>
      </c>
      <c r="N196" s="76">
        <v>41.25</v>
      </c>
      <c r="O196" s="76">
        <v>15.37</v>
      </c>
      <c r="Q196" s="76">
        <v>37.75</v>
      </c>
      <c r="R196" s="76">
        <v>42.12</v>
      </c>
      <c r="S196" s="76">
        <v>9.3800000000000008</v>
      </c>
      <c r="T196" s="8">
        <v>22</v>
      </c>
      <c r="U196" s="11">
        <v>270</v>
      </c>
      <c r="V196" s="11">
        <v>19</v>
      </c>
      <c r="X196" s="4">
        <v>193</v>
      </c>
    </row>
    <row r="197" spans="12:24">
      <c r="M197" s="14" t="s">
        <v>97</v>
      </c>
      <c r="N197" s="76">
        <v>38.619999999999997</v>
      </c>
      <c r="O197" s="76">
        <v>15.75</v>
      </c>
      <c r="Q197" s="76">
        <v>38.75</v>
      </c>
      <c r="R197" s="76">
        <v>41.25</v>
      </c>
      <c r="S197" s="76">
        <v>11.7</v>
      </c>
      <c r="T197" s="9">
        <v>22.5</v>
      </c>
      <c r="U197" s="11">
        <v>247.5</v>
      </c>
      <c r="V197" s="11">
        <v>20.5</v>
      </c>
      <c r="X197" s="4">
        <v>194</v>
      </c>
    </row>
    <row r="198" spans="12:24">
      <c r="M198" s="14" t="s">
        <v>130</v>
      </c>
      <c r="N198" s="76">
        <v>39.619999999999997</v>
      </c>
      <c r="O198" s="76">
        <v>16.5</v>
      </c>
      <c r="Q198" s="76">
        <v>38.5</v>
      </c>
      <c r="R198" s="76">
        <v>42.5</v>
      </c>
      <c r="S198" s="76">
        <v>10.06</v>
      </c>
      <c r="T198" s="8">
        <v>25</v>
      </c>
      <c r="U198" s="11">
        <v>225</v>
      </c>
      <c r="V198" s="76">
        <v>25.5</v>
      </c>
      <c r="X198" s="4">
        <v>195</v>
      </c>
    </row>
    <row r="199" spans="12:24">
      <c r="M199" s="14" t="s">
        <v>131</v>
      </c>
      <c r="N199" s="76">
        <v>40.5</v>
      </c>
      <c r="O199" s="76">
        <v>16.600000000000001</v>
      </c>
      <c r="Q199" s="76">
        <v>38.6</v>
      </c>
      <c r="R199" s="76">
        <v>42.3</v>
      </c>
      <c r="S199" s="76">
        <v>8.82</v>
      </c>
      <c r="T199" s="8">
        <v>25.3</v>
      </c>
      <c r="U199" s="11">
        <v>225</v>
      </c>
      <c r="V199" s="76">
        <v>25.5</v>
      </c>
      <c r="X199" s="4">
        <v>196</v>
      </c>
    </row>
    <row r="200" spans="12:24">
      <c r="M200" s="14" t="s">
        <v>132</v>
      </c>
      <c r="N200" s="76">
        <v>39</v>
      </c>
      <c r="O200" s="76">
        <v>18.37</v>
      </c>
      <c r="Q200" s="76">
        <v>38.5</v>
      </c>
      <c r="R200" s="76">
        <v>41.75</v>
      </c>
      <c r="S200" s="76">
        <v>9.6</v>
      </c>
      <c r="T200" s="8">
        <v>25.5</v>
      </c>
      <c r="U200" s="11">
        <v>190</v>
      </c>
      <c r="V200" s="76">
        <v>24.38</v>
      </c>
      <c r="X200" s="4">
        <v>197</v>
      </c>
    </row>
    <row r="201" spans="12:24">
      <c r="M201" s="14" t="s">
        <v>133</v>
      </c>
      <c r="N201" s="76">
        <v>38.5</v>
      </c>
      <c r="O201" s="76">
        <v>19.5</v>
      </c>
      <c r="Q201" s="76">
        <v>39</v>
      </c>
      <c r="R201" s="76">
        <v>42.31</v>
      </c>
      <c r="S201" s="76">
        <v>9.75</v>
      </c>
      <c r="T201" s="8">
        <v>24.75</v>
      </c>
      <c r="U201" s="11">
        <v>165.63</v>
      </c>
      <c r="V201" s="11">
        <v>23.5</v>
      </c>
      <c r="X201" s="4">
        <v>198</v>
      </c>
    </row>
    <row r="202" spans="12:24">
      <c r="M202" s="14" t="s">
        <v>134</v>
      </c>
      <c r="N202" s="76">
        <v>39.700000000000003</v>
      </c>
      <c r="O202" s="76">
        <v>20.399999999999999</v>
      </c>
      <c r="Q202" s="76">
        <v>41.3</v>
      </c>
      <c r="R202" s="76">
        <v>43.9</v>
      </c>
      <c r="S202" s="76">
        <v>10.6</v>
      </c>
      <c r="T202" s="8">
        <v>24.4</v>
      </c>
      <c r="U202" s="11">
        <v>131.5</v>
      </c>
      <c r="V202" s="11">
        <v>27.5</v>
      </c>
      <c r="X202" s="4">
        <v>199</v>
      </c>
    </row>
    <row r="203" spans="12:24">
      <c r="M203" s="14" t="s">
        <v>135</v>
      </c>
      <c r="N203" s="76">
        <v>44.25</v>
      </c>
      <c r="O203" s="76">
        <v>21</v>
      </c>
      <c r="Q203" s="76">
        <v>44.75</v>
      </c>
      <c r="R203" s="76">
        <v>52</v>
      </c>
      <c r="S203" s="76">
        <v>11.18</v>
      </c>
      <c r="T203" s="8">
        <v>25.75</v>
      </c>
      <c r="U203" s="11">
        <v>128</v>
      </c>
      <c r="V203" s="11">
        <v>27</v>
      </c>
      <c r="X203" s="4">
        <v>200</v>
      </c>
    </row>
    <row r="204" spans="12:24">
      <c r="M204" s="14" t="s">
        <v>136</v>
      </c>
      <c r="N204" s="76">
        <v>44.9</v>
      </c>
      <c r="O204" s="76">
        <v>21.75</v>
      </c>
      <c r="Q204" s="76">
        <v>45.5</v>
      </c>
      <c r="R204" s="76">
        <v>54.87</v>
      </c>
      <c r="S204" s="76">
        <v>11.63</v>
      </c>
      <c r="T204" s="8">
        <v>26</v>
      </c>
      <c r="U204" s="11">
        <v>125</v>
      </c>
      <c r="V204" s="11">
        <v>26.5</v>
      </c>
      <c r="X204" s="4">
        <v>201</v>
      </c>
    </row>
    <row r="205" spans="12:24">
      <c r="M205" s="14" t="s">
        <v>192</v>
      </c>
      <c r="N205" s="76">
        <v>45.75</v>
      </c>
      <c r="O205" s="76">
        <v>22.25</v>
      </c>
      <c r="Q205" s="76">
        <v>42</v>
      </c>
      <c r="R205" s="76">
        <v>58.5</v>
      </c>
      <c r="S205" s="76">
        <v>11.5</v>
      </c>
      <c r="T205" s="8">
        <v>26</v>
      </c>
      <c r="U205" s="11">
        <v>125</v>
      </c>
      <c r="V205" s="11">
        <v>27</v>
      </c>
      <c r="X205" s="4">
        <v>202</v>
      </c>
    </row>
    <row r="206" spans="12:24">
      <c r="L206" s="6"/>
      <c r="M206" s="14" t="s">
        <v>193</v>
      </c>
      <c r="N206" s="105">
        <f>N205+(N205*(RATE(($X$211-$X$205),0,N$205,-N$211)))</f>
        <v>44.829967003022922</v>
      </c>
      <c r="O206" s="76">
        <v>15.75</v>
      </c>
      <c r="Q206" s="76">
        <v>32.869999999999997</v>
      </c>
      <c r="R206" s="76">
        <v>31</v>
      </c>
      <c r="S206" s="76">
        <v>10.75</v>
      </c>
      <c r="T206" s="8">
        <v>15.5</v>
      </c>
      <c r="U206" s="11">
        <v>183.33</v>
      </c>
      <c r="V206" s="11">
        <v>27</v>
      </c>
      <c r="X206" s="4">
        <v>203</v>
      </c>
    </row>
    <row r="207" spans="12:24">
      <c r="M207" s="14" t="s">
        <v>194</v>
      </c>
      <c r="N207" s="105">
        <f t="shared" ref="N207:N210" si="22">N206+(N206*(RATE(($X$211-$X$205),0,N$205,-N$211)))</f>
        <v>43.928435879609268</v>
      </c>
      <c r="O207" s="76">
        <v>15.9</v>
      </c>
      <c r="Q207" s="76">
        <v>37.200000000000003</v>
      </c>
      <c r="R207" s="76">
        <v>41</v>
      </c>
      <c r="S207" s="76">
        <v>13.5</v>
      </c>
      <c r="T207" s="8">
        <v>17.8</v>
      </c>
      <c r="U207" s="11">
        <v>175</v>
      </c>
      <c r="V207" s="11">
        <v>27</v>
      </c>
      <c r="X207" s="4">
        <v>204</v>
      </c>
    </row>
    <row r="208" spans="12:24">
      <c r="L208" s="5">
        <f t="shared" si="21"/>
        <v>1846</v>
      </c>
      <c r="M208" s="14" t="s">
        <v>96</v>
      </c>
      <c r="N208" s="105">
        <f t="shared" si="22"/>
        <v>43.045034556880694</v>
      </c>
      <c r="O208" s="76">
        <v>19</v>
      </c>
      <c r="Q208" s="76">
        <v>43</v>
      </c>
      <c r="R208" s="76">
        <v>45.5</v>
      </c>
      <c r="S208" s="76">
        <v>13.85</v>
      </c>
      <c r="T208" s="8">
        <v>21.22</v>
      </c>
      <c r="U208" s="11">
        <v>125</v>
      </c>
      <c r="V208" s="105">
        <f t="shared" ref="V208:V220" si="23">V207+(V207*(RATE(($X$221-$X$207),0,V$207,-V$221)))</f>
        <v>27.251985345346387</v>
      </c>
      <c r="X208" s="4">
        <v>205</v>
      </c>
    </row>
    <row r="209" spans="12:24">
      <c r="M209" s="14" t="s">
        <v>97</v>
      </c>
      <c r="N209" s="105">
        <f t="shared" si="22"/>
        <v>42.179398444348479</v>
      </c>
      <c r="O209" s="76">
        <v>20.62</v>
      </c>
      <c r="Q209" s="76">
        <v>43.75</v>
      </c>
      <c r="R209" s="76">
        <v>48.62</v>
      </c>
      <c r="S209" s="76">
        <v>15.68</v>
      </c>
      <c r="T209" s="9">
        <v>24.5</v>
      </c>
      <c r="U209" s="11">
        <v>125</v>
      </c>
      <c r="V209" s="105">
        <f t="shared" si="23"/>
        <v>27.506322417147196</v>
      </c>
      <c r="X209" s="4">
        <v>206</v>
      </c>
    </row>
    <row r="210" spans="12:24">
      <c r="M210" s="14" t="s">
        <v>130</v>
      </c>
      <c r="N210" s="105">
        <f t="shared" si="22"/>
        <v>41.331170283442596</v>
      </c>
      <c r="O210" s="76">
        <v>22.6</v>
      </c>
      <c r="Q210" s="76">
        <v>39.799999999999997</v>
      </c>
      <c r="R210" s="76">
        <v>46</v>
      </c>
      <c r="S210" s="76">
        <v>15.88</v>
      </c>
      <c r="T210" s="8">
        <v>24.12</v>
      </c>
      <c r="U210" s="11">
        <v>125</v>
      </c>
      <c r="V210" s="105">
        <f t="shared" si="23"/>
        <v>27.763033163572896</v>
      </c>
      <c r="X210" s="4">
        <v>207</v>
      </c>
    </row>
    <row r="211" spans="12:24">
      <c r="M211" s="14" t="s">
        <v>131</v>
      </c>
      <c r="N211" s="76">
        <v>40.5</v>
      </c>
      <c r="O211" s="76">
        <v>21.5</v>
      </c>
      <c r="Q211" s="76">
        <v>37</v>
      </c>
      <c r="R211" s="76">
        <v>45.5</v>
      </c>
      <c r="S211" s="76">
        <v>15.5</v>
      </c>
      <c r="T211" s="8">
        <v>20.5</v>
      </c>
      <c r="U211" s="11">
        <v>106.25</v>
      </c>
      <c r="V211" s="105">
        <f t="shared" si="23"/>
        <v>28.02213973763164</v>
      </c>
      <c r="X211" s="4">
        <v>208</v>
      </c>
    </row>
    <row r="212" spans="12:24">
      <c r="M212" s="14" t="s">
        <v>132</v>
      </c>
      <c r="N212" s="76">
        <v>40.5</v>
      </c>
      <c r="O212" s="76">
        <v>23.12</v>
      </c>
      <c r="Q212" s="76">
        <v>37</v>
      </c>
      <c r="R212" s="76">
        <v>46</v>
      </c>
      <c r="S212" s="76">
        <v>15.88</v>
      </c>
      <c r="T212" s="8">
        <v>19</v>
      </c>
      <c r="U212" s="11">
        <v>87.5</v>
      </c>
      <c r="V212" s="105">
        <f t="shared" si="23"/>
        <v>28.283664499080967</v>
      </c>
      <c r="X212" s="4">
        <v>209</v>
      </c>
    </row>
    <row r="213" spans="12:24">
      <c r="M213" s="14" t="s">
        <v>133</v>
      </c>
      <c r="N213" s="76">
        <v>41</v>
      </c>
      <c r="O213" s="76">
        <v>23.5</v>
      </c>
      <c r="Q213" s="76">
        <v>37.32</v>
      </c>
      <c r="R213" s="76">
        <v>47.9</v>
      </c>
      <c r="S213" s="76">
        <v>16.75</v>
      </c>
      <c r="T213" s="8">
        <v>20</v>
      </c>
      <c r="U213" s="11">
        <v>87.5</v>
      </c>
      <c r="V213" s="105">
        <f t="shared" si="23"/>
        <v>28.547630016357349</v>
      </c>
      <c r="X213" s="4">
        <v>210</v>
      </c>
    </row>
    <row r="214" spans="12:24">
      <c r="M214" s="14" t="s">
        <v>134</v>
      </c>
      <c r="N214" s="76">
        <v>43.25</v>
      </c>
      <c r="O214" s="76">
        <v>25.62</v>
      </c>
      <c r="Q214" s="76">
        <v>47.12</v>
      </c>
      <c r="R214" s="76">
        <v>52.25</v>
      </c>
      <c r="S214" s="76">
        <v>18</v>
      </c>
      <c r="T214" s="8">
        <v>23.25</v>
      </c>
      <c r="U214" s="11">
        <v>102.5</v>
      </c>
      <c r="V214" s="105">
        <f t="shared" si="23"/>
        <v>28.814059068523747</v>
      </c>
      <c r="X214" s="4">
        <v>211</v>
      </c>
    </row>
    <row r="215" spans="12:24">
      <c r="M215" s="14" t="s">
        <v>135</v>
      </c>
      <c r="N215" s="76">
        <v>41</v>
      </c>
      <c r="O215" s="76">
        <v>24.5</v>
      </c>
      <c r="Q215" s="76">
        <v>43.12</v>
      </c>
      <c r="R215" s="76">
        <v>48.12</v>
      </c>
      <c r="S215" s="76">
        <v>18.3</v>
      </c>
      <c r="T215" s="8">
        <v>22.5</v>
      </c>
      <c r="U215" s="11">
        <v>87.5</v>
      </c>
      <c r="V215" s="105">
        <f>V214+(V214*(RATE(($X$221-$X$207),0,V$207,-V$221)))</f>
        <v>29.082974647235346</v>
      </c>
      <c r="X215" s="4">
        <v>212</v>
      </c>
    </row>
    <row r="216" spans="12:24">
      <c r="M216" s="14" t="s">
        <v>136</v>
      </c>
      <c r="N216" s="76">
        <v>41</v>
      </c>
      <c r="O216" s="76">
        <v>23</v>
      </c>
      <c r="Q216" s="76">
        <v>44.4</v>
      </c>
      <c r="R216" s="76">
        <v>47.2</v>
      </c>
      <c r="S216" s="76">
        <v>18.5</v>
      </c>
      <c r="T216" s="8">
        <v>21.12</v>
      </c>
      <c r="U216" s="11">
        <v>87.5</v>
      </c>
      <c r="V216" s="105">
        <f t="shared" si="23"/>
        <v>29.354399958723636</v>
      </c>
      <c r="X216" s="4">
        <v>213</v>
      </c>
    </row>
    <row r="217" spans="12:24">
      <c r="M217" s="14" t="s">
        <v>192</v>
      </c>
      <c r="N217" s="76">
        <v>44</v>
      </c>
      <c r="O217" s="76">
        <v>25.37</v>
      </c>
      <c r="Q217" s="76">
        <v>43.5</v>
      </c>
      <c r="R217" s="76">
        <v>49.25</v>
      </c>
      <c r="S217" s="76">
        <v>16.899999999999999</v>
      </c>
      <c r="T217" s="8">
        <v>19</v>
      </c>
      <c r="U217" s="11">
        <v>225</v>
      </c>
      <c r="V217" s="105">
        <f t="shared" si="23"/>
        <v>29.628358425799007</v>
      </c>
      <c r="X217" s="4">
        <v>214</v>
      </c>
    </row>
    <row r="218" spans="12:24">
      <c r="L218" s="6"/>
      <c r="M218" s="14" t="s">
        <v>193</v>
      </c>
      <c r="N218" s="76">
        <v>44</v>
      </c>
      <c r="O218" s="76">
        <v>26.7</v>
      </c>
      <c r="Q218" s="76">
        <v>41.9</v>
      </c>
      <c r="R218" s="76">
        <v>48.5</v>
      </c>
      <c r="S218" s="76">
        <v>16</v>
      </c>
      <c r="T218" s="8">
        <v>19</v>
      </c>
      <c r="U218" s="11">
        <v>225</v>
      </c>
      <c r="V218" s="105">
        <f t="shared" si="23"/>
        <v>29.904873689872026</v>
      </c>
      <c r="X218" s="4">
        <v>215</v>
      </c>
    </row>
    <row r="219" spans="12:24">
      <c r="M219" s="14" t="s">
        <v>194</v>
      </c>
      <c r="N219" s="76">
        <v>43.4</v>
      </c>
      <c r="O219" s="76">
        <v>25</v>
      </c>
      <c r="Q219" s="76">
        <v>37.5</v>
      </c>
      <c r="R219" s="76">
        <v>47.5</v>
      </c>
      <c r="S219" s="76">
        <v>16</v>
      </c>
      <c r="T219" s="8">
        <v>18.399999999999999</v>
      </c>
      <c r="U219" s="11">
        <v>225</v>
      </c>
      <c r="V219" s="105">
        <f t="shared" si="23"/>
        <v>30.1839696129936</v>
      </c>
      <c r="X219" s="4">
        <v>216</v>
      </c>
    </row>
    <row r="220" spans="12:24">
      <c r="L220" s="5">
        <f t="shared" si="21"/>
        <v>1847</v>
      </c>
      <c r="M220" s="14" t="s">
        <v>96</v>
      </c>
      <c r="N220" s="76">
        <v>42.75</v>
      </c>
      <c r="O220" s="76">
        <v>23</v>
      </c>
      <c r="Q220" s="76">
        <v>37.369999999999997</v>
      </c>
      <c r="R220" s="76">
        <v>47.62</v>
      </c>
      <c r="S220" s="76">
        <v>15.5</v>
      </c>
      <c r="T220" s="8">
        <v>19</v>
      </c>
      <c r="U220" s="11">
        <v>225</v>
      </c>
      <c r="V220" s="105">
        <f t="shared" si="23"/>
        <v>30.465670279914157</v>
      </c>
      <c r="X220" s="4">
        <v>217</v>
      </c>
    </row>
    <row r="221" spans="12:24">
      <c r="M221" s="14" t="s">
        <v>97</v>
      </c>
      <c r="N221" s="76">
        <v>42.75</v>
      </c>
      <c r="O221" s="76">
        <v>23</v>
      </c>
      <c r="Q221" s="76">
        <v>37.5</v>
      </c>
      <c r="R221" s="76">
        <v>45.87</v>
      </c>
      <c r="S221" s="76">
        <v>15.5</v>
      </c>
      <c r="T221" s="9">
        <v>19</v>
      </c>
      <c r="U221" s="11">
        <v>225</v>
      </c>
      <c r="V221" s="11">
        <v>30.75</v>
      </c>
      <c r="X221" s="4">
        <v>218</v>
      </c>
    </row>
    <row r="222" spans="12:24">
      <c r="M222" s="14" t="s">
        <v>130</v>
      </c>
      <c r="N222" s="76">
        <v>40.5</v>
      </c>
      <c r="O222" s="76">
        <v>23</v>
      </c>
      <c r="Q222" s="76">
        <v>37.5</v>
      </c>
      <c r="R222" s="76">
        <v>44.8</v>
      </c>
      <c r="S222" s="76">
        <v>16.25</v>
      </c>
      <c r="T222" s="8">
        <v>19</v>
      </c>
      <c r="U222" s="11">
        <v>225</v>
      </c>
      <c r="V222" s="76">
        <v>30.75</v>
      </c>
      <c r="X222" s="4">
        <v>219</v>
      </c>
    </row>
    <row r="223" spans="12:24">
      <c r="M223" s="14" t="s">
        <v>131</v>
      </c>
      <c r="N223" s="76">
        <v>41.25</v>
      </c>
      <c r="O223" s="76">
        <v>23</v>
      </c>
      <c r="Q223" s="76">
        <v>38.25</v>
      </c>
      <c r="R223" s="76">
        <v>44.37</v>
      </c>
      <c r="S223" s="76">
        <v>20.75</v>
      </c>
      <c r="T223" s="8">
        <v>18.5</v>
      </c>
      <c r="U223" s="11">
        <v>225</v>
      </c>
      <c r="V223" s="76">
        <v>29.13</v>
      </c>
      <c r="X223" s="4">
        <v>220</v>
      </c>
    </row>
    <row r="224" spans="12:24">
      <c r="M224" s="14" t="s">
        <v>132</v>
      </c>
      <c r="N224" s="76">
        <v>41.5</v>
      </c>
      <c r="O224" s="76">
        <v>23</v>
      </c>
      <c r="Q224" s="76">
        <v>39.75</v>
      </c>
      <c r="R224" s="76">
        <v>44</v>
      </c>
      <c r="S224" s="76">
        <v>23.8</v>
      </c>
      <c r="T224" s="8">
        <v>18.5</v>
      </c>
      <c r="U224" s="11">
        <v>225</v>
      </c>
      <c r="V224" s="76">
        <v>29.88</v>
      </c>
      <c r="X224" s="4">
        <v>221</v>
      </c>
    </row>
    <row r="225" spans="12:24">
      <c r="M225" s="14" t="s">
        <v>133</v>
      </c>
      <c r="N225" s="76">
        <v>42.3</v>
      </c>
      <c r="O225" s="76">
        <v>23.4</v>
      </c>
      <c r="Q225" s="76">
        <v>40.4</v>
      </c>
      <c r="R225" s="76">
        <v>43.7</v>
      </c>
      <c r="S225" s="76">
        <v>25</v>
      </c>
      <c r="T225" s="8">
        <v>18.600000000000001</v>
      </c>
      <c r="V225" s="11">
        <v>31.38</v>
      </c>
      <c r="X225" s="4">
        <v>222</v>
      </c>
    </row>
    <row r="226" spans="12:24">
      <c r="M226" s="14" t="s">
        <v>134</v>
      </c>
      <c r="N226" s="76">
        <v>43.25</v>
      </c>
      <c r="O226" s="76">
        <v>23.83</v>
      </c>
      <c r="Q226" s="76">
        <v>40.75</v>
      </c>
      <c r="R226" s="76">
        <v>43</v>
      </c>
      <c r="S226" s="76">
        <v>24.5</v>
      </c>
      <c r="T226" s="8">
        <v>19.25</v>
      </c>
      <c r="V226" s="11">
        <v>31.25</v>
      </c>
      <c r="X226" s="4">
        <v>223</v>
      </c>
    </row>
    <row r="227" spans="12:24">
      <c r="M227" s="14" t="s">
        <v>135</v>
      </c>
      <c r="N227" s="76">
        <v>42.3</v>
      </c>
      <c r="O227" s="76">
        <v>23.3</v>
      </c>
      <c r="Q227" s="76">
        <v>40.4</v>
      </c>
      <c r="R227" s="76">
        <v>43.9</v>
      </c>
      <c r="S227" s="76">
        <v>27.5</v>
      </c>
      <c r="T227" s="8">
        <v>19.12</v>
      </c>
      <c r="V227" s="11">
        <v>38.6</v>
      </c>
      <c r="X227" s="4">
        <v>224</v>
      </c>
    </row>
    <row r="228" spans="12:24">
      <c r="M228" s="14" t="s">
        <v>136</v>
      </c>
      <c r="N228" s="76">
        <v>42.5</v>
      </c>
      <c r="O228" s="76">
        <v>22.5</v>
      </c>
      <c r="Q228" s="76">
        <v>42.75</v>
      </c>
      <c r="R228" s="76">
        <v>44.5</v>
      </c>
      <c r="S228" s="76">
        <v>27.5</v>
      </c>
      <c r="T228" s="8">
        <v>19</v>
      </c>
      <c r="V228" s="11">
        <v>45.5</v>
      </c>
      <c r="X228" s="4">
        <v>225</v>
      </c>
    </row>
    <row r="229" spans="12:24">
      <c r="M229" s="14" t="s">
        <v>192</v>
      </c>
      <c r="N229" s="76">
        <v>47.5</v>
      </c>
      <c r="O229" s="76">
        <v>23</v>
      </c>
      <c r="Q229" s="76">
        <v>41.5</v>
      </c>
      <c r="R229" s="76">
        <v>45.5</v>
      </c>
      <c r="S229" s="76">
        <v>27.5</v>
      </c>
      <c r="T229" s="8">
        <v>19.12</v>
      </c>
      <c r="V229" s="11">
        <v>45.5</v>
      </c>
      <c r="X229" s="4">
        <v>226</v>
      </c>
    </row>
    <row r="230" spans="12:24">
      <c r="L230" s="6"/>
      <c r="M230" s="14" t="s">
        <v>193</v>
      </c>
      <c r="N230" s="76">
        <v>43.7</v>
      </c>
      <c r="O230" s="76">
        <v>21.5</v>
      </c>
      <c r="Q230" s="76">
        <v>43.5</v>
      </c>
      <c r="R230" s="76">
        <v>48.2</v>
      </c>
      <c r="S230" s="76">
        <v>25.5</v>
      </c>
      <c r="T230" s="8">
        <v>19.7</v>
      </c>
      <c r="V230" s="11">
        <v>48.75</v>
      </c>
      <c r="X230" s="4">
        <v>227</v>
      </c>
    </row>
    <row r="231" spans="12:24">
      <c r="M231" s="14" t="s">
        <v>194</v>
      </c>
      <c r="N231" s="76">
        <v>41</v>
      </c>
      <c r="O231" s="76">
        <v>21.5</v>
      </c>
      <c r="Q231" s="76">
        <v>43.5</v>
      </c>
      <c r="R231" s="76">
        <v>47</v>
      </c>
      <c r="S231" s="76">
        <v>22</v>
      </c>
      <c r="T231" s="8">
        <v>21</v>
      </c>
      <c r="V231" s="11">
        <v>45.5</v>
      </c>
      <c r="X231" s="4">
        <v>228</v>
      </c>
    </row>
    <row r="232" spans="12:24">
      <c r="L232" s="5">
        <f t="shared" ref="L232:L280" si="24">L220+1</f>
        <v>1848</v>
      </c>
      <c r="M232" s="14" t="s">
        <v>96</v>
      </c>
      <c r="N232" s="76">
        <v>39.369999999999997</v>
      </c>
      <c r="O232" s="76">
        <v>17.739999999999998</v>
      </c>
      <c r="Q232" s="76">
        <v>39.5</v>
      </c>
      <c r="R232" s="76">
        <v>42.5</v>
      </c>
      <c r="S232" s="76">
        <v>22.9</v>
      </c>
      <c r="T232" s="8">
        <v>21.12</v>
      </c>
      <c r="V232" s="11">
        <v>45.5</v>
      </c>
      <c r="X232" s="4">
        <v>229</v>
      </c>
    </row>
    <row r="233" spans="12:24">
      <c r="M233" s="14" t="s">
        <v>97</v>
      </c>
      <c r="N233" s="76">
        <v>38.5</v>
      </c>
      <c r="O233" s="76">
        <v>19</v>
      </c>
      <c r="Q233" s="76">
        <v>40.75</v>
      </c>
      <c r="R233" s="76">
        <v>41.5</v>
      </c>
      <c r="S233" s="76">
        <v>23.5</v>
      </c>
      <c r="T233" s="8">
        <v>22</v>
      </c>
      <c r="V233" s="11">
        <v>45.5</v>
      </c>
      <c r="X233" s="4">
        <v>230</v>
      </c>
    </row>
    <row r="234" spans="12:24">
      <c r="M234" s="14" t="s">
        <v>130</v>
      </c>
      <c r="N234" s="76">
        <v>38.5</v>
      </c>
      <c r="O234" s="76">
        <v>19</v>
      </c>
      <c r="Q234" s="76">
        <v>41</v>
      </c>
      <c r="R234" s="76">
        <v>41.5</v>
      </c>
      <c r="S234" s="76">
        <v>23.5</v>
      </c>
      <c r="T234" s="8">
        <v>23</v>
      </c>
      <c r="V234" s="76">
        <v>46.25</v>
      </c>
      <c r="X234" s="4">
        <v>231</v>
      </c>
    </row>
    <row r="235" spans="12:24">
      <c r="M235" s="14" t="s">
        <v>131</v>
      </c>
      <c r="N235" s="76">
        <v>38.5</v>
      </c>
      <c r="O235" s="76">
        <v>17.12</v>
      </c>
      <c r="Q235" s="76">
        <v>38</v>
      </c>
      <c r="R235" s="76">
        <v>40</v>
      </c>
      <c r="S235" s="76">
        <v>21.25</v>
      </c>
      <c r="T235" s="8">
        <v>22.43</v>
      </c>
      <c r="V235" s="76">
        <v>45.5</v>
      </c>
      <c r="X235" s="4">
        <v>232</v>
      </c>
    </row>
    <row r="236" spans="12:24">
      <c r="M236" s="14" t="s">
        <v>132</v>
      </c>
      <c r="N236" s="76">
        <v>35.33</v>
      </c>
      <c r="O236" s="76">
        <v>16.5</v>
      </c>
      <c r="Q236" s="76">
        <v>37.33</v>
      </c>
      <c r="R236" s="76">
        <v>41.83</v>
      </c>
      <c r="S236" s="76">
        <v>19</v>
      </c>
      <c r="T236" s="8">
        <v>21.5</v>
      </c>
      <c r="V236" s="76">
        <v>33.5</v>
      </c>
      <c r="X236" s="4">
        <v>233</v>
      </c>
    </row>
    <row r="237" spans="12:24">
      <c r="M237" s="14" t="s">
        <v>133</v>
      </c>
      <c r="N237" s="76">
        <v>37.5</v>
      </c>
      <c r="O237" s="76">
        <v>18.899999999999999</v>
      </c>
      <c r="Q237" s="76">
        <v>41.2</v>
      </c>
      <c r="R237" s="76">
        <v>43.9</v>
      </c>
      <c r="S237" s="76">
        <v>23.5</v>
      </c>
      <c r="T237" s="8">
        <v>24</v>
      </c>
      <c r="V237" s="105">
        <f>V236+(V236*(RATE(($X$238-$X$236),0,V$236,-V$238)))</f>
        <v>36.606010435465286</v>
      </c>
      <c r="X237" s="4">
        <v>234</v>
      </c>
    </row>
    <row r="238" spans="12:24">
      <c r="M238" s="14" t="s">
        <v>134</v>
      </c>
      <c r="N238" s="76">
        <v>38.25</v>
      </c>
      <c r="O238" s="76">
        <v>23</v>
      </c>
      <c r="Q238" s="76">
        <v>42.75</v>
      </c>
      <c r="R238" s="76">
        <v>47.25</v>
      </c>
      <c r="S238" s="76">
        <v>24.7</v>
      </c>
      <c r="T238" s="8">
        <v>25.25</v>
      </c>
      <c r="V238" s="11">
        <v>40</v>
      </c>
      <c r="X238" s="4">
        <v>235</v>
      </c>
    </row>
    <row r="239" spans="12:24">
      <c r="M239" s="14" t="s">
        <v>135</v>
      </c>
      <c r="N239" s="76">
        <v>37.17</v>
      </c>
      <c r="O239" s="76">
        <v>21.7</v>
      </c>
      <c r="Q239" s="76">
        <v>41.2</v>
      </c>
      <c r="R239" s="76">
        <v>47.3</v>
      </c>
      <c r="S239" s="76">
        <v>24.38</v>
      </c>
      <c r="T239" s="8">
        <v>27.8</v>
      </c>
      <c r="V239" s="11">
        <v>40</v>
      </c>
      <c r="X239" s="4">
        <v>236</v>
      </c>
    </row>
    <row r="240" spans="12:24">
      <c r="M240" s="14" t="s">
        <v>136</v>
      </c>
      <c r="N240" s="76">
        <v>33.119999999999997</v>
      </c>
      <c r="O240" s="76">
        <v>21</v>
      </c>
      <c r="Q240" s="76">
        <v>37.119999999999997</v>
      </c>
      <c r="R240" s="76">
        <v>41.12</v>
      </c>
      <c r="S240" s="76">
        <v>21.1</v>
      </c>
      <c r="T240" s="8">
        <v>27.5</v>
      </c>
      <c r="V240" s="11">
        <v>40</v>
      </c>
      <c r="X240" s="4">
        <v>237</v>
      </c>
    </row>
    <row r="241" spans="12:24">
      <c r="M241" s="14" t="s">
        <v>192</v>
      </c>
      <c r="N241" s="76">
        <v>31.2</v>
      </c>
      <c r="O241" s="76">
        <v>19.600000000000001</v>
      </c>
      <c r="Q241" s="76">
        <v>36.9</v>
      </c>
      <c r="R241" s="76">
        <v>40.799999999999997</v>
      </c>
      <c r="S241" s="76">
        <v>23.25</v>
      </c>
      <c r="T241" s="8">
        <v>26.75</v>
      </c>
      <c r="V241" s="11">
        <v>40</v>
      </c>
      <c r="X241" s="4">
        <v>238</v>
      </c>
    </row>
    <row r="242" spans="12:24">
      <c r="L242" s="6"/>
      <c r="M242" s="14" t="s">
        <v>193</v>
      </c>
      <c r="N242" s="76">
        <v>33.25</v>
      </c>
      <c r="O242" s="76">
        <v>19</v>
      </c>
      <c r="Q242" s="76">
        <v>37</v>
      </c>
      <c r="R242" s="76">
        <v>42.25</v>
      </c>
      <c r="S242" s="76">
        <v>24.75</v>
      </c>
      <c r="T242" s="8">
        <v>26</v>
      </c>
      <c r="V242" s="11">
        <v>40</v>
      </c>
      <c r="X242" s="4">
        <v>239</v>
      </c>
    </row>
    <row r="243" spans="12:24">
      <c r="M243" s="14" t="s">
        <v>194</v>
      </c>
      <c r="N243" s="76">
        <v>35.25</v>
      </c>
      <c r="O243" s="76">
        <v>19.12</v>
      </c>
      <c r="Q243" s="76">
        <v>42.75</v>
      </c>
      <c r="R243" s="76">
        <v>44</v>
      </c>
      <c r="S243" s="76">
        <v>25.4</v>
      </c>
      <c r="T243" s="9">
        <v>24.2</v>
      </c>
      <c r="V243" s="11">
        <v>40</v>
      </c>
      <c r="X243" s="4">
        <v>240</v>
      </c>
    </row>
    <row r="244" spans="12:24">
      <c r="L244" s="5">
        <f t="shared" si="24"/>
        <v>1849</v>
      </c>
      <c r="M244" s="14" t="s">
        <v>96</v>
      </c>
      <c r="N244" s="76">
        <v>33.4</v>
      </c>
      <c r="O244" s="76">
        <v>17.75</v>
      </c>
      <c r="Q244" s="76">
        <v>42.1</v>
      </c>
      <c r="R244" s="76">
        <v>44.2</v>
      </c>
      <c r="S244" s="76">
        <v>23.88</v>
      </c>
      <c r="T244" s="8">
        <v>25.5</v>
      </c>
      <c r="V244" s="11">
        <v>40</v>
      </c>
      <c r="X244" s="4">
        <v>241</v>
      </c>
    </row>
    <row r="245" spans="12:24">
      <c r="M245" s="14" t="s">
        <v>97</v>
      </c>
      <c r="N245" s="76">
        <v>31</v>
      </c>
      <c r="O245" s="76">
        <v>18.5</v>
      </c>
      <c r="Q245" s="76">
        <v>43</v>
      </c>
      <c r="R245" s="76">
        <v>44.5</v>
      </c>
      <c r="S245" s="76">
        <v>24.25</v>
      </c>
      <c r="T245" s="8">
        <v>28</v>
      </c>
      <c r="V245" s="11">
        <v>40</v>
      </c>
      <c r="X245" s="4">
        <v>242</v>
      </c>
    </row>
    <row r="246" spans="12:24">
      <c r="M246" s="14" t="s">
        <v>130</v>
      </c>
      <c r="N246" s="76">
        <v>31.25</v>
      </c>
      <c r="O246" s="76">
        <v>18.37</v>
      </c>
      <c r="Q246" s="76">
        <v>42.5</v>
      </c>
      <c r="R246" s="76">
        <v>44.87</v>
      </c>
      <c r="S246" s="76">
        <v>21</v>
      </c>
      <c r="T246" s="8">
        <v>26.62</v>
      </c>
      <c r="V246" s="76">
        <v>39</v>
      </c>
      <c r="X246" s="4">
        <v>243</v>
      </c>
    </row>
    <row r="247" spans="12:24">
      <c r="M247" s="14" t="s">
        <v>131</v>
      </c>
      <c r="N247" s="76">
        <v>30.8</v>
      </c>
      <c r="O247" s="76">
        <v>17</v>
      </c>
      <c r="Q247" s="76">
        <v>43.25</v>
      </c>
      <c r="R247" s="76">
        <v>45</v>
      </c>
      <c r="S247" s="76">
        <v>22.38</v>
      </c>
      <c r="T247" s="8">
        <v>28.75</v>
      </c>
      <c r="V247" s="76">
        <v>38</v>
      </c>
      <c r="X247" s="4">
        <v>244</v>
      </c>
    </row>
    <row r="248" spans="12:24">
      <c r="M248" s="14" t="s">
        <v>132</v>
      </c>
      <c r="N248" s="76">
        <v>32.119999999999997</v>
      </c>
      <c r="O248" s="76">
        <v>17</v>
      </c>
      <c r="Q248" s="76">
        <v>43.7</v>
      </c>
      <c r="R248" s="76">
        <v>45.2</v>
      </c>
      <c r="S248" s="76">
        <v>22.25</v>
      </c>
      <c r="T248" s="8">
        <v>29.5</v>
      </c>
      <c r="V248" s="76">
        <v>38</v>
      </c>
      <c r="X248" s="4">
        <v>245</v>
      </c>
    </row>
    <row r="249" spans="12:24">
      <c r="M249" s="14" t="s">
        <v>133</v>
      </c>
      <c r="N249" s="76">
        <v>33.369999999999997</v>
      </c>
      <c r="O249" s="76">
        <v>16</v>
      </c>
      <c r="Q249" s="76">
        <v>43.25</v>
      </c>
      <c r="R249" s="76">
        <v>44.5</v>
      </c>
      <c r="S249" s="76">
        <v>20.329999999999998</v>
      </c>
      <c r="T249" s="8">
        <v>30.5</v>
      </c>
      <c r="V249" s="11">
        <v>38</v>
      </c>
      <c r="X249" s="4">
        <v>246</v>
      </c>
    </row>
    <row r="250" spans="12:24">
      <c r="M250" s="14" t="s">
        <v>134</v>
      </c>
      <c r="N250" s="76">
        <v>34.200000000000003</v>
      </c>
      <c r="O250" s="76">
        <v>15.25</v>
      </c>
      <c r="Q250" s="76">
        <v>44.35</v>
      </c>
      <c r="R250" s="76">
        <v>44.8</v>
      </c>
      <c r="S250" s="76">
        <v>23.88</v>
      </c>
      <c r="T250" s="8">
        <v>31.87</v>
      </c>
      <c r="V250" s="11">
        <v>38.619999999999997</v>
      </c>
      <c r="X250" s="4">
        <v>247</v>
      </c>
    </row>
    <row r="251" spans="12:24">
      <c r="M251" s="14" t="s">
        <v>135</v>
      </c>
      <c r="N251" s="76">
        <v>33.97</v>
      </c>
      <c r="O251" s="76">
        <v>14.75</v>
      </c>
      <c r="Q251" s="76">
        <v>43.87</v>
      </c>
      <c r="R251" s="76">
        <v>44.87</v>
      </c>
      <c r="S251" s="76">
        <v>20</v>
      </c>
      <c r="T251" s="8">
        <v>33.07</v>
      </c>
      <c r="V251" s="11">
        <v>38.619999999999997</v>
      </c>
      <c r="X251" s="4">
        <v>248</v>
      </c>
    </row>
    <row r="252" spans="12:24">
      <c r="M252" s="14" t="s">
        <v>136</v>
      </c>
      <c r="N252" s="76">
        <v>34.69</v>
      </c>
      <c r="O252" s="76">
        <v>15.5</v>
      </c>
      <c r="Q252" s="76">
        <v>43.37</v>
      </c>
      <c r="R252" s="76">
        <v>44.75</v>
      </c>
      <c r="S252" s="76">
        <v>21.25</v>
      </c>
      <c r="T252" s="8">
        <v>33.369999999999997</v>
      </c>
      <c r="V252" s="11">
        <v>38.619999999999997</v>
      </c>
      <c r="X252" s="4">
        <v>249</v>
      </c>
    </row>
    <row r="253" spans="12:24">
      <c r="M253" s="14" t="s">
        <v>192</v>
      </c>
      <c r="N253" s="76">
        <v>35.92</v>
      </c>
      <c r="O253" s="76">
        <v>15.5</v>
      </c>
      <c r="Q253" s="76">
        <v>44.1</v>
      </c>
      <c r="R253" s="76">
        <v>46.1</v>
      </c>
      <c r="S253" s="76">
        <v>23.5</v>
      </c>
      <c r="T253" s="8">
        <v>33.42</v>
      </c>
      <c r="V253" s="11">
        <v>38.619999999999997</v>
      </c>
      <c r="X253" s="4">
        <v>250</v>
      </c>
    </row>
    <row r="254" spans="12:24">
      <c r="L254" s="6"/>
      <c r="M254" s="14" t="s">
        <v>193</v>
      </c>
      <c r="N254" s="76">
        <v>36.24</v>
      </c>
      <c r="O254" s="76">
        <v>15.25</v>
      </c>
      <c r="Q254" s="76">
        <v>43.62</v>
      </c>
      <c r="R254" s="76">
        <v>44.75</v>
      </c>
      <c r="S254" s="76">
        <v>20.98</v>
      </c>
      <c r="T254" s="8">
        <v>27.12</v>
      </c>
      <c r="V254" s="11">
        <v>38.619999999999997</v>
      </c>
      <c r="X254" s="4">
        <v>251</v>
      </c>
    </row>
    <row r="255" spans="12:24">
      <c r="M255" s="14" t="s">
        <v>194</v>
      </c>
      <c r="N255" s="76">
        <v>35.75</v>
      </c>
      <c r="O255" s="76">
        <v>12.33</v>
      </c>
      <c r="Q255" s="76">
        <v>39.08</v>
      </c>
      <c r="R255" s="76">
        <v>39.83</v>
      </c>
      <c r="S255" s="76">
        <v>18.88</v>
      </c>
      <c r="T255" s="9">
        <v>27.9</v>
      </c>
      <c r="V255" s="11">
        <v>38.619999999999997</v>
      </c>
      <c r="X255" s="4">
        <v>252</v>
      </c>
    </row>
    <row r="256" spans="12:24">
      <c r="L256" s="5">
        <f t="shared" si="24"/>
        <v>1850</v>
      </c>
      <c r="M256" s="14" t="s">
        <v>96</v>
      </c>
      <c r="N256" s="76">
        <v>35.5</v>
      </c>
      <c r="O256" s="76">
        <v>10.75</v>
      </c>
      <c r="Q256" s="76">
        <v>39.6</v>
      </c>
      <c r="R256" s="76">
        <v>41.1</v>
      </c>
      <c r="S256" s="76">
        <v>17.75</v>
      </c>
      <c r="T256" s="8">
        <v>28.37</v>
      </c>
      <c r="V256" s="105">
        <f t="shared" ref="V256:V266" si="25">V255+(V255*(RATE(($X$267-$X$255),0,V$255,-V$267)))</f>
        <v>38.733158491855086</v>
      </c>
      <c r="X256" s="4">
        <v>253</v>
      </c>
    </row>
    <row r="257" spans="12:24">
      <c r="M257" s="14" t="s">
        <v>97</v>
      </c>
      <c r="N257" s="76">
        <v>35.81</v>
      </c>
      <c r="O257" s="76">
        <v>12.11</v>
      </c>
      <c r="Q257" s="76">
        <v>42.62</v>
      </c>
      <c r="R257" s="76">
        <v>44</v>
      </c>
      <c r="S257" s="76">
        <v>18.25</v>
      </c>
      <c r="T257" s="8">
        <v>32.96</v>
      </c>
      <c r="V257" s="105">
        <f t="shared" si="25"/>
        <v>38.846648543634537</v>
      </c>
      <c r="X257" s="4">
        <v>254</v>
      </c>
    </row>
    <row r="258" spans="12:24">
      <c r="M258" s="14" t="s">
        <v>130</v>
      </c>
      <c r="N258" s="76">
        <v>35.869999999999997</v>
      </c>
      <c r="O258" s="76">
        <v>13.5</v>
      </c>
      <c r="Q258" s="76">
        <v>43.68</v>
      </c>
      <c r="R258" s="76">
        <v>45.75</v>
      </c>
      <c r="S258" s="76">
        <v>17.5</v>
      </c>
      <c r="T258" s="9">
        <v>34.5</v>
      </c>
      <c r="V258" s="105">
        <f t="shared" si="25"/>
        <v>38.960471126825169</v>
      </c>
      <c r="X258" s="4">
        <v>255</v>
      </c>
    </row>
    <row r="259" spans="12:24">
      <c r="M259" s="14" t="s">
        <v>131</v>
      </c>
      <c r="N259" s="76">
        <v>35.799999999999997</v>
      </c>
      <c r="O259" s="76">
        <v>12.5</v>
      </c>
      <c r="Q259" s="76">
        <v>44</v>
      </c>
      <c r="R259" s="76">
        <v>46.5</v>
      </c>
      <c r="S259" s="76">
        <v>17.5</v>
      </c>
      <c r="T259" s="9">
        <v>34.5</v>
      </c>
      <c r="V259" s="105">
        <f t="shared" si="25"/>
        <v>39.074627215760316</v>
      </c>
      <c r="X259" s="4">
        <v>256</v>
      </c>
    </row>
    <row r="260" spans="12:24">
      <c r="M260" s="14" t="s">
        <v>132</v>
      </c>
      <c r="N260" s="76">
        <v>36</v>
      </c>
      <c r="O260" s="76">
        <v>12.5</v>
      </c>
      <c r="Q260" s="76">
        <v>45.44</v>
      </c>
      <c r="R260" s="76">
        <v>46.5</v>
      </c>
      <c r="S260" s="76">
        <v>19.2</v>
      </c>
      <c r="T260" s="9">
        <v>34.5</v>
      </c>
      <c r="V260" s="105">
        <f t="shared" si="25"/>
        <v>39.189117787628135</v>
      </c>
      <c r="X260" s="4">
        <v>257</v>
      </c>
    </row>
    <row r="261" spans="12:24">
      <c r="M261" s="14" t="s">
        <v>133</v>
      </c>
      <c r="N261" s="76">
        <v>36.5</v>
      </c>
      <c r="O261" s="76">
        <v>12.5</v>
      </c>
      <c r="Q261" s="76">
        <v>46.5</v>
      </c>
      <c r="R261" s="76">
        <v>47.5</v>
      </c>
      <c r="S261" s="76">
        <v>17.63</v>
      </c>
      <c r="T261" s="9">
        <v>34.5</v>
      </c>
      <c r="V261" s="105">
        <f>V260+(V260*(RATE(($X$267-$X$255),0,V$255,-V$267)))</f>
        <v>39.303943822480008</v>
      </c>
      <c r="X261" s="4">
        <v>258</v>
      </c>
    </row>
    <row r="262" spans="12:24">
      <c r="M262" s="14" t="s">
        <v>134</v>
      </c>
      <c r="N262" s="76">
        <v>37.4</v>
      </c>
      <c r="O262" s="76">
        <v>13.25</v>
      </c>
      <c r="Q262" s="76">
        <v>49.4</v>
      </c>
      <c r="R262" s="76">
        <v>50.2</v>
      </c>
      <c r="S262" s="76">
        <v>17.75</v>
      </c>
      <c r="T262" s="9">
        <v>35.5</v>
      </c>
      <c r="V262" s="105">
        <f t="shared" si="25"/>
        <v>39.419106303238912</v>
      </c>
      <c r="X262" s="4">
        <v>259</v>
      </c>
    </row>
    <row r="263" spans="12:24">
      <c r="M263" s="14" t="s">
        <v>135</v>
      </c>
      <c r="N263" s="76">
        <v>36.869999999999997</v>
      </c>
      <c r="O263" s="76">
        <v>12.87</v>
      </c>
      <c r="Q263" s="76">
        <v>46.75</v>
      </c>
      <c r="R263" s="76">
        <v>49.12</v>
      </c>
      <c r="S263" s="76">
        <v>18.63</v>
      </c>
      <c r="T263" s="9">
        <v>37.5</v>
      </c>
      <c r="V263" s="105">
        <f t="shared" si="25"/>
        <v>39.534606215707839</v>
      </c>
      <c r="X263" s="4">
        <v>260</v>
      </c>
    </row>
    <row r="264" spans="12:24">
      <c r="M264" s="14" t="s">
        <v>136</v>
      </c>
      <c r="N264" s="76">
        <v>36.619999999999997</v>
      </c>
      <c r="O264" s="76">
        <v>11</v>
      </c>
      <c r="Q264" s="76">
        <v>45.75</v>
      </c>
      <c r="R264" s="76">
        <v>48.5</v>
      </c>
      <c r="S264" s="76">
        <v>19</v>
      </c>
      <c r="T264" s="9">
        <v>37.5</v>
      </c>
      <c r="V264" s="105">
        <f t="shared" si="25"/>
        <v>39.650444548578228</v>
      </c>
      <c r="X264" s="4">
        <v>261</v>
      </c>
    </row>
    <row r="265" spans="12:24">
      <c r="M265" s="14" t="s">
        <v>192</v>
      </c>
      <c r="N265" s="76">
        <v>37.4</v>
      </c>
      <c r="O265" s="76">
        <v>12.5</v>
      </c>
      <c r="Q265" s="76">
        <v>45</v>
      </c>
      <c r="R265" s="76">
        <v>48.2</v>
      </c>
      <c r="S265" s="76">
        <v>19</v>
      </c>
      <c r="T265" s="8">
        <v>37.5</v>
      </c>
      <c r="V265" s="105">
        <f t="shared" si="25"/>
        <v>39.766622293438431</v>
      </c>
      <c r="X265" s="4">
        <v>262</v>
      </c>
    </row>
    <row r="266" spans="12:24">
      <c r="L266" s="6"/>
      <c r="M266" s="14" t="s">
        <v>193</v>
      </c>
      <c r="N266" s="76">
        <v>40.119999999999997</v>
      </c>
      <c r="O266" s="76">
        <v>11</v>
      </c>
      <c r="Q266" s="76">
        <v>40.619999999999997</v>
      </c>
      <c r="R266" s="76">
        <v>43.75</v>
      </c>
      <c r="S266" s="76">
        <v>19</v>
      </c>
      <c r="T266" s="9">
        <v>29.5</v>
      </c>
      <c r="V266" s="105">
        <f t="shared" si="25"/>
        <v>39.8831404447822</v>
      </c>
      <c r="X266" s="4">
        <v>263</v>
      </c>
    </row>
    <row r="267" spans="12:24">
      <c r="M267" s="14" t="s">
        <v>194</v>
      </c>
      <c r="N267" s="76">
        <v>40.159999999999997</v>
      </c>
      <c r="O267" s="76">
        <v>10</v>
      </c>
      <c r="Q267" s="76">
        <v>42.37</v>
      </c>
      <c r="R267" s="76">
        <v>46</v>
      </c>
      <c r="S267" s="76">
        <v>18.5</v>
      </c>
      <c r="T267" s="9">
        <v>32.619999999999997</v>
      </c>
      <c r="V267" s="11">
        <v>40</v>
      </c>
      <c r="X267" s="4">
        <v>264</v>
      </c>
    </row>
    <row r="268" spans="12:24">
      <c r="L268" s="5">
        <f t="shared" si="24"/>
        <v>1851</v>
      </c>
      <c r="M268" s="14" t="s">
        <v>96</v>
      </c>
      <c r="N268" s="76">
        <v>40.159999999999997</v>
      </c>
      <c r="O268" s="76">
        <v>10</v>
      </c>
      <c r="Q268" s="76">
        <v>44.5</v>
      </c>
      <c r="R268" s="76">
        <v>47</v>
      </c>
      <c r="S268" s="76">
        <v>20</v>
      </c>
      <c r="T268" s="8">
        <v>32.5</v>
      </c>
      <c r="V268" s="76">
        <v>39</v>
      </c>
      <c r="X268" s="4">
        <v>265</v>
      </c>
    </row>
    <row r="269" spans="12:24">
      <c r="M269" s="14" t="s">
        <v>97</v>
      </c>
      <c r="N269" s="76">
        <v>38.83</v>
      </c>
      <c r="O269" s="76">
        <v>11.5</v>
      </c>
      <c r="Q269" s="76">
        <v>44.5</v>
      </c>
      <c r="R269" s="76">
        <v>48.5</v>
      </c>
      <c r="S269" s="76">
        <v>19.579999999999998</v>
      </c>
      <c r="T269" s="8">
        <v>35.67</v>
      </c>
      <c r="V269" s="11">
        <v>34.25</v>
      </c>
      <c r="X269" s="4">
        <v>266</v>
      </c>
    </row>
    <row r="270" spans="12:24">
      <c r="M270" s="14" t="s">
        <v>130</v>
      </c>
      <c r="N270" s="76">
        <v>38.869999999999997</v>
      </c>
      <c r="O270" s="76">
        <v>12.69</v>
      </c>
      <c r="Q270" s="76">
        <v>48.37</v>
      </c>
      <c r="R270" s="76">
        <v>50.5</v>
      </c>
      <c r="S270" s="76">
        <v>20.190000000000001</v>
      </c>
      <c r="T270" s="8">
        <v>38.869999999999997</v>
      </c>
      <c r="V270" s="76">
        <v>32.5</v>
      </c>
      <c r="X270" s="4">
        <v>267</v>
      </c>
    </row>
    <row r="271" spans="12:24">
      <c r="M271" s="14" t="s">
        <v>131</v>
      </c>
      <c r="N271" s="76">
        <v>41.3</v>
      </c>
      <c r="O271" s="76">
        <v>13.25</v>
      </c>
      <c r="Q271" s="76">
        <v>51.6</v>
      </c>
      <c r="R271" s="76">
        <v>53.8</v>
      </c>
      <c r="S271" s="76">
        <v>21.75</v>
      </c>
      <c r="T271" s="9">
        <v>40.799999999999997</v>
      </c>
      <c r="V271" s="76">
        <v>31.75</v>
      </c>
      <c r="X271" s="4">
        <v>268</v>
      </c>
    </row>
    <row r="272" spans="12:24">
      <c r="M272" s="14" t="s">
        <v>132</v>
      </c>
      <c r="N272" s="76">
        <v>43.17</v>
      </c>
      <c r="O272" s="76">
        <v>12.5</v>
      </c>
      <c r="Q272" s="76">
        <v>56</v>
      </c>
      <c r="R272" s="76">
        <v>59.12</v>
      </c>
      <c r="S272" s="76">
        <v>23.25</v>
      </c>
      <c r="T272" s="9">
        <v>42.5</v>
      </c>
      <c r="V272" s="76">
        <v>31.25</v>
      </c>
      <c r="X272" s="4">
        <v>269</v>
      </c>
    </row>
    <row r="273" spans="12:24">
      <c r="M273" s="14" t="s">
        <v>133</v>
      </c>
      <c r="N273" s="76">
        <v>46.75</v>
      </c>
      <c r="O273" s="76">
        <v>13.5</v>
      </c>
      <c r="Q273" s="76">
        <v>57.5</v>
      </c>
      <c r="R273" s="76">
        <v>61</v>
      </c>
      <c r="S273" s="76">
        <v>23.44</v>
      </c>
      <c r="T273" s="9">
        <v>42.5</v>
      </c>
      <c r="V273" s="76">
        <v>31.5</v>
      </c>
      <c r="X273" s="4">
        <v>270</v>
      </c>
    </row>
    <row r="274" spans="12:24">
      <c r="M274" s="14" t="s">
        <v>134</v>
      </c>
      <c r="N274" s="76">
        <v>44.5</v>
      </c>
      <c r="O274" s="76">
        <v>12.5</v>
      </c>
      <c r="Q274" s="76">
        <v>57.5</v>
      </c>
      <c r="R274" s="76">
        <v>60.5</v>
      </c>
      <c r="S274" s="76">
        <v>23.75</v>
      </c>
      <c r="T274" s="9">
        <v>40</v>
      </c>
      <c r="V274" s="11">
        <v>31</v>
      </c>
      <c r="X274" s="4">
        <v>271</v>
      </c>
    </row>
    <row r="275" spans="12:24">
      <c r="M275" s="14" t="s">
        <v>135</v>
      </c>
      <c r="N275" s="76">
        <v>47.12</v>
      </c>
      <c r="O275" s="76">
        <v>13.5</v>
      </c>
      <c r="Q275" s="76">
        <v>61.25</v>
      </c>
      <c r="R275" s="76">
        <v>63.37</v>
      </c>
      <c r="S275" s="76">
        <v>25.5</v>
      </c>
      <c r="T275" s="9">
        <v>38</v>
      </c>
      <c r="V275" s="11">
        <v>32</v>
      </c>
      <c r="X275" s="4">
        <v>272</v>
      </c>
    </row>
    <row r="276" spans="12:24">
      <c r="M276" s="14" t="s">
        <v>136</v>
      </c>
      <c r="N276" s="76">
        <v>52.7</v>
      </c>
      <c r="O276" s="76">
        <v>16</v>
      </c>
      <c r="Q276" s="76">
        <v>73.8</v>
      </c>
      <c r="R276" s="76">
        <v>77.3</v>
      </c>
      <c r="S276" s="76">
        <v>29.31</v>
      </c>
      <c r="T276" s="9">
        <v>39</v>
      </c>
      <c r="V276" s="11">
        <v>34.75</v>
      </c>
      <c r="X276" s="4">
        <v>273</v>
      </c>
    </row>
    <row r="277" spans="12:24">
      <c r="M277" s="14" t="s">
        <v>192</v>
      </c>
      <c r="N277" s="76">
        <v>51</v>
      </c>
      <c r="O277" s="76">
        <v>13</v>
      </c>
      <c r="Q277" s="76">
        <v>64.83</v>
      </c>
      <c r="R277" s="76">
        <v>68.83</v>
      </c>
      <c r="S277" s="76">
        <v>27.63</v>
      </c>
      <c r="T277" s="8">
        <v>34</v>
      </c>
      <c r="V277" s="11">
        <v>35.299999999999997</v>
      </c>
      <c r="X277" s="4">
        <v>274</v>
      </c>
    </row>
    <row r="278" spans="12:24">
      <c r="L278" s="6"/>
      <c r="M278" s="14" t="s">
        <v>193</v>
      </c>
      <c r="N278" s="76">
        <v>49</v>
      </c>
      <c r="O278" s="76">
        <v>12.5</v>
      </c>
      <c r="Q278" s="76">
        <v>62.87</v>
      </c>
      <c r="R278" s="76">
        <v>67</v>
      </c>
      <c r="S278" s="76">
        <v>25.8</v>
      </c>
      <c r="T278" s="9">
        <v>34.5</v>
      </c>
      <c r="V278" s="11">
        <v>33.75</v>
      </c>
      <c r="X278" s="4">
        <v>275</v>
      </c>
    </row>
    <row r="279" spans="12:24">
      <c r="M279" s="14" t="s">
        <v>194</v>
      </c>
      <c r="N279" s="76">
        <v>46.3</v>
      </c>
      <c r="O279" s="76">
        <v>10.5</v>
      </c>
      <c r="Q279" s="76">
        <v>64.099999999999994</v>
      </c>
      <c r="R279" s="76">
        <v>67.5</v>
      </c>
      <c r="S279" s="76">
        <v>25.31</v>
      </c>
      <c r="T279" s="9">
        <v>37.5</v>
      </c>
      <c r="V279" s="11">
        <v>30.8</v>
      </c>
      <c r="X279" s="4">
        <v>276</v>
      </c>
    </row>
    <row r="280" spans="12:24">
      <c r="L280" s="5">
        <f t="shared" si="24"/>
        <v>1852</v>
      </c>
      <c r="M280" s="14" t="s">
        <v>96</v>
      </c>
      <c r="S280" s="76">
        <v>23.56</v>
      </c>
      <c r="T280" s="8">
        <v>33.5</v>
      </c>
      <c r="V280" s="11">
        <v>29.5</v>
      </c>
      <c r="X280" s="4">
        <v>277</v>
      </c>
    </row>
    <row r="281" spans="12:24">
      <c r="M281" s="14" t="s">
        <v>97</v>
      </c>
      <c r="S281" s="76">
        <v>23.75</v>
      </c>
      <c r="T281" s="8">
        <v>27</v>
      </c>
      <c r="V281" s="11">
        <v>29.5</v>
      </c>
      <c r="X281" s="4">
        <v>278</v>
      </c>
    </row>
    <row r="282" spans="12:24">
      <c r="M282" s="14" t="s">
        <v>130</v>
      </c>
      <c r="T282" s="8">
        <v>28.4</v>
      </c>
      <c r="V282" s="76">
        <v>32.5</v>
      </c>
      <c r="X282" s="4">
        <v>279</v>
      </c>
    </row>
    <row r="283" spans="12:24">
      <c r="M283" s="14" t="s">
        <v>131</v>
      </c>
      <c r="T283" s="9">
        <v>31.87</v>
      </c>
      <c r="V283" s="76">
        <v>34.5</v>
      </c>
      <c r="X283" s="4">
        <v>280</v>
      </c>
    </row>
    <row r="284" spans="12:24">
      <c r="M284" s="14" t="s">
        <v>132</v>
      </c>
      <c r="T284" s="9">
        <v>32.5</v>
      </c>
      <c r="V284" s="76">
        <v>36.630000000000003</v>
      </c>
      <c r="X284" s="4">
        <v>281</v>
      </c>
    </row>
    <row r="285" spans="12:24">
      <c r="M285" s="14" t="s">
        <v>133</v>
      </c>
      <c r="T285" s="9">
        <v>32.369999999999997</v>
      </c>
      <c r="V285" s="76">
        <v>38.5</v>
      </c>
      <c r="X285" s="4">
        <v>282</v>
      </c>
    </row>
    <row r="286" spans="12:24">
      <c r="M286" s="14" t="s">
        <v>134</v>
      </c>
      <c r="T286" s="9">
        <v>32.5</v>
      </c>
      <c r="V286" s="11">
        <v>43.5</v>
      </c>
      <c r="X286" s="4">
        <v>283</v>
      </c>
    </row>
    <row r="287" spans="12:24">
      <c r="M287" s="14" t="s">
        <v>135</v>
      </c>
      <c r="T287" s="9">
        <v>35.159999999999997</v>
      </c>
      <c r="V287" s="11">
        <v>45.5</v>
      </c>
      <c r="X287" s="4">
        <v>284</v>
      </c>
    </row>
    <row r="288" spans="12:24">
      <c r="M288" s="14" t="s">
        <v>136</v>
      </c>
      <c r="T288" s="9">
        <v>36.5</v>
      </c>
      <c r="V288" s="11">
        <v>47</v>
      </c>
      <c r="X288" s="4">
        <v>285</v>
      </c>
    </row>
    <row r="289" spans="12:24">
      <c r="M289" s="14" t="s">
        <v>192</v>
      </c>
      <c r="T289" s="8">
        <v>33.5</v>
      </c>
      <c r="V289" s="11">
        <v>46.67</v>
      </c>
      <c r="X289" s="4">
        <v>286</v>
      </c>
    </row>
    <row r="290" spans="12:24">
      <c r="L290" s="6"/>
      <c r="M290" s="14" t="s">
        <v>193</v>
      </c>
      <c r="T290" s="9">
        <v>33.5</v>
      </c>
      <c r="V290" s="11">
        <v>45.75</v>
      </c>
      <c r="X290" s="4">
        <v>287</v>
      </c>
    </row>
    <row r="291" spans="12:24">
      <c r="M291" s="14" t="s">
        <v>194</v>
      </c>
      <c r="V291" s="11">
        <v>49</v>
      </c>
      <c r="X291" s="4">
        <v>288</v>
      </c>
    </row>
    <row r="326" spans="12:12">
      <c r="L326" s="6"/>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674"/>
  <sheetViews>
    <sheetView workbookViewId="0">
      <pane xSplit="10" ySplit="2" topLeftCell="K3" activePane="bottomRight" state="frozen"/>
      <selection pane="topRight" activeCell="C1" sqref="C1"/>
      <selection pane="bottomLeft" activeCell="A4" sqref="A4"/>
      <selection pane="bottomRight" activeCell="N30" sqref="N30"/>
    </sheetView>
  </sheetViews>
  <sheetFormatPr baseColWidth="10" defaultRowHeight="15"/>
  <cols>
    <col min="1" max="8" width="10.7109375" style="4"/>
    <col min="9" max="9" width="5.28515625" style="4" customWidth="1"/>
    <col min="10" max="10" width="5" style="4" customWidth="1"/>
    <col min="11" max="16384" width="10.7109375" style="4"/>
  </cols>
  <sheetData>
    <row r="1" spans="1:18" s="16" customFormat="1" ht="30">
      <c r="B1" s="79" t="s">
        <v>295</v>
      </c>
      <c r="C1" s="79" t="s">
        <v>297</v>
      </c>
      <c r="D1" s="79" t="s">
        <v>123</v>
      </c>
      <c r="E1" s="79" t="s">
        <v>129</v>
      </c>
      <c r="F1" s="79" t="s">
        <v>340</v>
      </c>
      <c r="G1" s="79" t="s">
        <v>328</v>
      </c>
      <c r="K1" s="17" t="s">
        <v>295</v>
      </c>
      <c r="L1" s="17" t="s">
        <v>297</v>
      </c>
      <c r="M1" s="17" t="s">
        <v>123</v>
      </c>
      <c r="N1" s="17" t="s">
        <v>129</v>
      </c>
      <c r="O1" s="17" t="s">
        <v>340</v>
      </c>
      <c r="P1" s="17" t="s">
        <v>341</v>
      </c>
    </row>
    <row r="2" spans="1:18" s="16" customFormat="1" ht="30">
      <c r="B2" s="79" t="s">
        <v>296</v>
      </c>
      <c r="C2" s="79" t="s">
        <v>122</v>
      </c>
      <c r="D2" s="79" t="s">
        <v>122</v>
      </c>
      <c r="E2" s="79" t="s">
        <v>122</v>
      </c>
      <c r="F2" s="79" t="s">
        <v>359</v>
      </c>
      <c r="G2" s="79" t="s">
        <v>122</v>
      </c>
      <c r="K2" s="17" t="s">
        <v>296</v>
      </c>
      <c r="L2" s="17" t="s">
        <v>122</v>
      </c>
      <c r="M2" s="17" t="s">
        <v>122</v>
      </c>
      <c r="N2" s="17" t="s">
        <v>122</v>
      </c>
      <c r="O2" s="17" t="s">
        <v>359</v>
      </c>
      <c r="P2" s="17" t="s">
        <v>122</v>
      </c>
    </row>
    <row r="3" spans="1:18">
      <c r="A3" s="4">
        <v>1863</v>
      </c>
      <c r="B3" s="18">
        <f>AVERAGE(K3:K14)</f>
        <v>3.081448047942954</v>
      </c>
      <c r="C3" s="18">
        <f>AVERAGE(L3:L14)</f>
        <v>15.584999999999999</v>
      </c>
      <c r="D3" s="18"/>
      <c r="E3" s="18"/>
      <c r="F3" s="18"/>
      <c r="G3" s="18"/>
      <c r="I3" s="4">
        <v>1863</v>
      </c>
      <c r="J3" s="14" t="s">
        <v>108</v>
      </c>
      <c r="K3" s="15">
        <v>3.28</v>
      </c>
      <c r="L3" s="15">
        <v>17.11</v>
      </c>
      <c r="M3" s="15"/>
      <c r="N3" s="15"/>
      <c r="O3" s="15"/>
      <c r="P3" s="15"/>
      <c r="Q3" s="15"/>
      <c r="R3" s="106">
        <v>1</v>
      </c>
    </row>
    <row r="4" spans="1:18">
      <c r="A4" s="4">
        <f>A3+1</f>
        <v>1864</v>
      </c>
      <c r="B4" s="18">
        <f>AVERAGE(K15:K26)</f>
        <v>3.1466666666666665</v>
      </c>
      <c r="C4" s="18">
        <f>AVERAGE(L15:L26)</f>
        <v>14.914166666666668</v>
      </c>
      <c r="D4" s="18"/>
      <c r="E4" s="18"/>
      <c r="F4" s="18"/>
      <c r="G4" s="18"/>
      <c r="J4" s="14" t="s">
        <v>109</v>
      </c>
      <c r="K4" s="15">
        <v>3.12</v>
      </c>
      <c r="L4" s="15">
        <v>16.36</v>
      </c>
      <c r="M4" s="15"/>
      <c r="N4" s="15"/>
      <c r="O4" s="15"/>
      <c r="P4" s="15"/>
      <c r="Q4" s="15"/>
      <c r="R4" s="106">
        <v>2</v>
      </c>
    </row>
    <row r="5" spans="1:18">
      <c r="A5" s="4">
        <f t="shared" ref="A5" si="0">A4+1</f>
        <v>1865</v>
      </c>
      <c r="B5" s="18">
        <f>AVERAGE(K27:K38)</f>
        <v>3.0483333333333333</v>
      </c>
      <c r="C5" s="18">
        <f>AVERAGE(L27:L38)</f>
        <v>12.755542950435384</v>
      </c>
      <c r="D5" s="18"/>
      <c r="E5" s="18"/>
      <c r="F5" s="18"/>
      <c r="G5" s="18"/>
      <c r="J5" s="14" t="s">
        <v>130</v>
      </c>
      <c r="K5" s="15">
        <v>3.07</v>
      </c>
      <c r="L5" s="15">
        <v>16.09</v>
      </c>
      <c r="M5" s="15"/>
      <c r="N5" s="15"/>
      <c r="O5" s="15"/>
      <c r="P5" s="15"/>
      <c r="Q5" s="15"/>
      <c r="R5" s="106">
        <v>3</v>
      </c>
    </row>
    <row r="6" spans="1:18">
      <c r="A6" s="4">
        <f t="shared" ref="A6" si="1">A5+1</f>
        <v>1866</v>
      </c>
      <c r="B6" s="18">
        <f>AVERAGE(K39:K50)</f>
        <v>3.0708333333333333</v>
      </c>
      <c r="C6" s="18">
        <f>AVERAGE(L39:L50)</f>
        <v>13.420833333333334</v>
      </c>
      <c r="D6" s="18"/>
      <c r="E6" s="18"/>
      <c r="F6" s="18"/>
      <c r="G6" s="18"/>
      <c r="J6" s="14" t="s">
        <v>131</v>
      </c>
      <c r="K6" s="15">
        <v>3.06</v>
      </c>
      <c r="L6" s="15">
        <v>16.43</v>
      </c>
      <c r="M6" s="15"/>
      <c r="N6" s="15"/>
      <c r="O6" s="15"/>
      <c r="P6" s="15"/>
      <c r="Q6" s="15"/>
      <c r="R6" s="106">
        <v>4</v>
      </c>
    </row>
    <row r="7" spans="1:18">
      <c r="A7" s="4">
        <f t="shared" ref="A7" si="2">A6+1</f>
        <v>1867</v>
      </c>
      <c r="B7" s="18">
        <f>AVERAGE(K51:K62)</f>
        <v>2.6508333333333334</v>
      </c>
      <c r="C7" s="18">
        <f>AVERAGE(L51:L62)</f>
        <v>14.833070109009009</v>
      </c>
      <c r="D7" s="18"/>
      <c r="E7" s="18"/>
      <c r="F7" s="18"/>
      <c r="G7" s="18"/>
      <c r="J7" s="14" t="s">
        <v>132</v>
      </c>
      <c r="K7" s="15">
        <v>3.08</v>
      </c>
      <c r="L7" s="15">
        <v>15.629999999999999</v>
      </c>
      <c r="M7" s="15"/>
      <c r="N7" s="15"/>
      <c r="O7" s="15"/>
      <c r="P7" s="15"/>
      <c r="Q7" s="15"/>
      <c r="R7" s="106">
        <v>5</v>
      </c>
    </row>
    <row r="8" spans="1:18">
      <c r="A8" s="4">
        <f t="shared" ref="A8" si="3">A7+1</f>
        <v>1868</v>
      </c>
      <c r="B8" s="18">
        <f>AVERAGE(K63:K74)</f>
        <v>2.5749999999999997</v>
      </c>
      <c r="C8" s="18">
        <f>AVERAGE(L63:L74)</f>
        <v>16.75573363127738</v>
      </c>
      <c r="D8" s="18"/>
      <c r="E8" s="18"/>
      <c r="F8" s="18"/>
      <c r="G8" s="18"/>
      <c r="J8" s="14" t="s">
        <v>133</v>
      </c>
      <c r="K8" s="15">
        <v>3.07</v>
      </c>
      <c r="L8" s="15">
        <v>14.95</v>
      </c>
      <c r="M8" s="15"/>
      <c r="N8" s="15"/>
      <c r="O8" s="15"/>
      <c r="P8" s="15"/>
      <c r="Q8" s="15"/>
      <c r="R8" s="106">
        <v>6</v>
      </c>
    </row>
    <row r="9" spans="1:18">
      <c r="A9" s="4">
        <f t="shared" ref="A9" si="4">A8+1</f>
        <v>1869</v>
      </c>
      <c r="B9" s="18">
        <f>AVERAGE(K75:K86)</f>
        <v>2.1958333333333329</v>
      </c>
      <c r="C9" s="18">
        <f>AVERAGE(L75:L86)</f>
        <v>16.275833333333335</v>
      </c>
      <c r="D9" s="18"/>
      <c r="E9" s="18"/>
      <c r="F9" s="18"/>
      <c r="G9" s="18"/>
      <c r="J9" s="14" t="s">
        <v>134</v>
      </c>
      <c r="K9" s="15">
        <v>3.13</v>
      </c>
      <c r="L9" s="15">
        <v>15.289999999999997</v>
      </c>
      <c r="M9" s="15"/>
      <c r="N9" s="15"/>
      <c r="O9" s="15"/>
      <c r="P9" s="15"/>
      <c r="Q9" s="15"/>
      <c r="R9" s="106">
        <v>7</v>
      </c>
    </row>
    <row r="10" spans="1:18">
      <c r="A10" s="4">
        <f t="shared" ref="A10" si="5">A9+1</f>
        <v>1870</v>
      </c>
      <c r="B10" s="18">
        <f>AVERAGE(K87:K98)</f>
        <v>2.3630969621490432</v>
      </c>
      <c r="C10" s="18">
        <f>AVERAGE(L87:L98)</f>
        <v>17.065833333333334</v>
      </c>
      <c r="D10" s="18"/>
      <c r="E10" s="18"/>
      <c r="F10" s="18"/>
      <c r="G10" s="18"/>
      <c r="J10" s="14" t="s">
        <v>135</v>
      </c>
      <c r="K10" s="105">
        <f>K9+(K9*(RATE(($R$13-$R$9),0,K$9,-K$13)))</f>
        <v>3.0892095268131712</v>
      </c>
      <c r="L10" s="15">
        <v>14.27</v>
      </c>
      <c r="M10" s="15"/>
      <c r="N10" s="15"/>
      <c r="O10" s="15"/>
      <c r="P10" s="15"/>
      <c r="Q10" s="15"/>
      <c r="R10" s="106">
        <v>8</v>
      </c>
    </row>
    <row r="11" spans="1:18">
      <c r="A11" s="4">
        <f t="shared" ref="A11" si="6">A10+1</f>
        <v>1871</v>
      </c>
      <c r="B11" s="18">
        <f>AVERAGE(K99:K110)</f>
        <v>2.7366666666666668</v>
      </c>
      <c r="C11" s="18">
        <f>AVERAGE(L99:L110)</f>
        <v>20.024938373108807</v>
      </c>
      <c r="D11" s="18"/>
      <c r="E11" s="18"/>
      <c r="F11" s="18"/>
      <c r="G11" s="18"/>
      <c r="J11" s="14" t="s">
        <v>136</v>
      </c>
      <c r="K11" s="105">
        <f>K10+(K10*(RATE(($R$13-$R$9),0,K$9,-K$13)))</f>
        <v>3.0489506391543957</v>
      </c>
      <c r="L11" s="15">
        <v>15.010000000000002</v>
      </c>
      <c r="M11" s="15"/>
      <c r="N11" s="15"/>
      <c r="O11" s="15"/>
      <c r="P11" s="15"/>
      <c r="Q11" s="15"/>
      <c r="R11" s="106">
        <v>9</v>
      </c>
    </row>
    <row r="12" spans="1:18">
      <c r="A12" s="4">
        <f t="shared" ref="A12" si="7">A11+1</f>
        <v>1872</v>
      </c>
      <c r="B12" s="18">
        <f>AVERAGE(K111:K122)</f>
        <v>3.5717340108096618</v>
      </c>
      <c r="C12" s="18">
        <f>AVERAGE(L111:L122)</f>
        <v>22.958863396954612</v>
      </c>
      <c r="D12" s="18"/>
      <c r="E12" s="18"/>
      <c r="F12" s="18"/>
      <c r="G12" s="18"/>
      <c r="J12" s="14" t="s">
        <v>192</v>
      </c>
      <c r="K12" s="105">
        <f>K11+(K11*(RATE(($R$13-$R$9),0,K$9,-K$13)))</f>
        <v>3.0092164093478808</v>
      </c>
      <c r="L12" s="15">
        <v>15.410000000000002</v>
      </c>
      <c r="M12" s="15"/>
      <c r="N12" s="15"/>
      <c r="O12" s="15"/>
      <c r="P12" s="15"/>
      <c r="Q12" s="15"/>
      <c r="R12" s="106">
        <v>10</v>
      </c>
    </row>
    <row r="13" spans="1:18">
      <c r="A13" s="4">
        <f t="shared" ref="A13" si="8">A12+1</f>
        <v>1873</v>
      </c>
      <c r="B13" s="18">
        <f>AVERAGE(K123:K134)</f>
        <v>3.000833333333333</v>
      </c>
      <c r="C13" s="18">
        <f>AVERAGE(L123:L134)</f>
        <v>25.33378122998727</v>
      </c>
      <c r="D13" s="18"/>
      <c r="E13" s="18"/>
      <c r="F13" s="18"/>
      <c r="G13" s="18"/>
      <c r="J13" s="14" t="s">
        <v>193</v>
      </c>
      <c r="K13" s="15">
        <v>2.97</v>
      </c>
      <c r="L13" s="15">
        <v>15.289999999999997</v>
      </c>
      <c r="M13" s="15"/>
      <c r="N13" s="15"/>
      <c r="O13" s="15"/>
      <c r="P13" s="15"/>
      <c r="Q13" s="15"/>
      <c r="R13" s="106">
        <v>11</v>
      </c>
    </row>
    <row r="14" spans="1:18">
      <c r="A14" s="4">
        <f t="shared" ref="A14" si="9">A13+1</f>
        <v>1874</v>
      </c>
      <c r="B14" s="18">
        <f>AVERAGE(K135:K146)</f>
        <v>3.2299999999999991</v>
      </c>
      <c r="C14" s="18">
        <f>AVERAGE(L135:L146)</f>
        <v>25.323208298759301</v>
      </c>
      <c r="D14" s="18"/>
      <c r="E14" s="18"/>
      <c r="F14" s="18"/>
      <c r="G14" s="18"/>
      <c r="J14" s="14" t="s">
        <v>194</v>
      </c>
      <c r="K14" s="15">
        <v>3.05</v>
      </c>
      <c r="L14" s="15">
        <v>15.18</v>
      </c>
      <c r="M14" s="15"/>
      <c r="N14" s="15"/>
      <c r="O14" s="15"/>
      <c r="P14" s="15"/>
      <c r="Q14" s="15"/>
      <c r="R14" s="106">
        <v>12</v>
      </c>
    </row>
    <row r="15" spans="1:18">
      <c r="A15" s="4">
        <f t="shared" ref="A15" si="10">A14+1</f>
        <v>1875</v>
      </c>
      <c r="B15" s="18">
        <f>AVERAGE(K147:K158)</f>
        <v>3.3048951658567742</v>
      </c>
      <c r="C15" s="18">
        <f>AVERAGE(L147:L158)</f>
        <v>24.599166666666672</v>
      </c>
      <c r="D15" s="18"/>
      <c r="E15" s="18"/>
      <c r="F15" s="18"/>
      <c r="G15" s="18"/>
      <c r="I15" s="4">
        <f>I3+1</f>
        <v>1864</v>
      </c>
      <c r="J15" s="14" t="s">
        <v>184</v>
      </c>
      <c r="K15" s="15">
        <v>3.13</v>
      </c>
      <c r="L15" s="15">
        <v>14.760000000000002</v>
      </c>
      <c r="M15" s="15"/>
      <c r="N15" s="15"/>
      <c r="O15" s="15"/>
      <c r="P15" s="15"/>
      <c r="Q15" s="15"/>
      <c r="R15" s="106">
        <v>13</v>
      </c>
    </row>
    <row r="16" spans="1:18">
      <c r="A16" s="4">
        <f t="shared" ref="A16" si="11">A15+1</f>
        <v>1876</v>
      </c>
      <c r="B16" s="18">
        <f>AVERAGE(K159:K170)</f>
        <v>2.6799999999999997</v>
      </c>
      <c r="C16" s="18">
        <f>AVERAGE(L159:L170)</f>
        <v>20.893729079118035</v>
      </c>
      <c r="D16" s="18"/>
      <c r="E16" s="18"/>
      <c r="F16" s="18"/>
      <c r="G16" s="18"/>
      <c r="J16" s="14" t="s">
        <v>364</v>
      </c>
      <c r="K16" s="15">
        <v>3.13</v>
      </c>
      <c r="L16" s="15">
        <v>14.69</v>
      </c>
      <c r="M16" s="15"/>
      <c r="N16" s="15"/>
      <c r="O16" s="15"/>
      <c r="P16" s="15"/>
      <c r="Q16" s="15"/>
      <c r="R16" s="106">
        <v>14</v>
      </c>
    </row>
    <row r="17" spans="1:18">
      <c r="A17" s="4">
        <f t="shared" ref="A17" si="12">A16+1</f>
        <v>1877</v>
      </c>
      <c r="B17" s="18">
        <f>AVERAGE(K171:K182)</f>
        <v>2.9841666666666669</v>
      </c>
      <c r="C17" s="18">
        <f>AVERAGE(L171:L182)</f>
        <v>22.72583333333333</v>
      </c>
      <c r="D17" s="18"/>
      <c r="E17" s="18"/>
      <c r="F17" s="18"/>
      <c r="G17" s="18"/>
      <c r="J17" s="14" t="s">
        <v>130</v>
      </c>
      <c r="K17" s="15">
        <v>3.18</v>
      </c>
      <c r="L17" s="15">
        <v>15.57</v>
      </c>
      <c r="M17" s="15"/>
      <c r="N17" s="15"/>
      <c r="O17" s="15"/>
      <c r="P17" s="15"/>
      <c r="Q17" s="15"/>
      <c r="R17" s="106">
        <v>15</v>
      </c>
    </row>
    <row r="18" spans="1:18">
      <c r="A18" s="4">
        <f t="shared" ref="A18" si="13">A17+1</f>
        <v>1878</v>
      </c>
      <c r="B18" s="18">
        <f>AVERAGE(K183:K194)</f>
        <v>3.5441546471580723</v>
      </c>
      <c r="C18" s="18">
        <f>AVERAGE(L183:L194)</f>
        <v>19.501750861355436</v>
      </c>
      <c r="D18" s="18"/>
      <c r="E18" s="18">
        <f>AVERAGE(N183:N194)</f>
        <v>4.1036363636363635</v>
      </c>
      <c r="F18" s="18"/>
      <c r="G18" s="18">
        <f>AVERAGE(P183:P194)</f>
        <v>1.27</v>
      </c>
      <c r="J18" s="14" t="s">
        <v>131</v>
      </c>
      <c r="K18" s="15">
        <v>3.16</v>
      </c>
      <c r="L18" s="15">
        <v>15.57</v>
      </c>
      <c r="M18" s="15"/>
      <c r="N18" s="15"/>
      <c r="O18" s="15"/>
      <c r="P18" s="15"/>
      <c r="Q18" s="15"/>
      <c r="R18" s="106">
        <v>16</v>
      </c>
    </row>
    <row r="19" spans="1:18">
      <c r="A19" s="4">
        <f t="shared" ref="A19" si="14">A18+1</f>
        <v>1879</v>
      </c>
      <c r="B19" s="18">
        <f>AVERAGE(K195:K206)</f>
        <v>3.0058024154163951</v>
      </c>
      <c r="C19" s="18">
        <f>AVERAGE(L195:L206)</f>
        <v>20.931716331028902</v>
      </c>
      <c r="D19" s="18"/>
      <c r="E19" s="18">
        <f>AVERAGE(N195:N206)</f>
        <v>3.3466666666666671</v>
      </c>
      <c r="F19" s="18"/>
      <c r="G19" s="18">
        <f>AVERAGE(P195:P206)</f>
        <v>1.7216666666666667</v>
      </c>
      <c r="J19" s="14" t="s">
        <v>132</v>
      </c>
      <c r="K19" s="15">
        <v>3.17</v>
      </c>
      <c r="L19" s="15">
        <v>15.629999999999999</v>
      </c>
      <c r="M19" s="15"/>
      <c r="N19" s="15"/>
      <c r="O19" s="15"/>
      <c r="P19" s="15"/>
      <c r="Q19" s="15"/>
      <c r="R19" s="106">
        <v>17</v>
      </c>
    </row>
    <row r="20" spans="1:18">
      <c r="A20" s="4">
        <f t="shared" ref="A20" si="15">A19+1</f>
        <v>1880</v>
      </c>
      <c r="B20" s="18">
        <f>AVERAGE(K207:K218)</f>
        <v>3.764777391376763</v>
      </c>
      <c r="C20" s="18">
        <f>AVERAGE(L207:L218)</f>
        <v>21.617735340958291</v>
      </c>
      <c r="D20" s="18"/>
      <c r="E20" s="18">
        <f>AVERAGE(N207:N218)</f>
        <v>7.22</v>
      </c>
      <c r="F20" s="18"/>
      <c r="G20" s="18">
        <f>AVERAGE(P207:P218)</f>
        <v>2.2475000000000001</v>
      </c>
      <c r="J20" s="14" t="s">
        <v>133</v>
      </c>
      <c r="K20" s="15">
        <v>3.15</v>
      </c>
      <c r="L20" s="15">
        <v>14.82</v>
      </c>
      <c r="M20" s="15"/>
      <c r="N20" s="15"/>
      <c r="O20" s="15"/>
      <c r="P20" s="15"/>
      <c r="Q20" s="15"/>
      <c r="R20" s="106">
        <v>18</v>
      </c>
    </row>
    <row r="21" spans="1:18">
      <c r="A21" s="4">
        <f t="shared" ref="A21" si="16">A20+1</f>
        <v>1881</v>
      </c>
      <c r="B21" s="18">
        <f>AVERAGE(K219:K230)</f>
        <v>3.2668956769104782</v>
      </c>
      <c r="C21" s="18">
        <f>AVERAGE(L219:L230)</f>
        <v>21.317995431521535</v>
      </c>
      <c r="D21" s="18"/>
      <c r="E21" s="18">
        <f>AVERAGE(N219:N230)</f>
        <v>6.3711399208922428</v>
      </c>
      <c r="F21" s="18"/>
      <c r="G21" s="18">
        <f>AVERAGE(P219:P230)</f>
        <v>1.8382882971847241</v>
      </c>
      <c r="J21" s="14" t="s">
        <v>134</v>
      </c>
      <c r="K21" s="15">
        <v>3.14</v>
      </c>
      <c r="L21" s="15">
        <v>14.980000000000002</v>
      </c>
      <c r="M21" s="15"/>
      <c r="N21" s="15"/>
      <c r="O21" s="15"/>
      <c r="P21" s="15"/>
      <c r="Q21" s="15"/>
      <c r="R21" s="106">
        <v>19</v>
      </c>
    </row>
    <row r="22" spans="1:18">
      <c r="A22" s="4">
        <f t="shared" ref="A22" si="17">A21+1</f>
        <v>1882</v>
      </c>
      <c r="B22" s="18">
        <f>AVERAGE(K231:K242)</f>
        <v>3.5070234903476396</v>
      </c>
      <c r="C22" s="18">
        <f>AVERAGE(L231:L242)</f>
        <v>20.411690004976069</v>
      </c>
      <c r="D22" s="18">
        <f>AVERAGE(M231:M242)</f>
        <v>11.062000000000001</v>
      </c>
      <c r="E22" s="18">
        <f>AVERAGE(N231:N242)</f>
        <v>5.3708333333333327</v>
      </c>
      <c r="F22" s="18"/>
      <c r="G22" s="18">
        <f>AVERAGE(P231:P242)</f>
        <v>2.0291666666666668</v>
      </c>
      <c r="J22" s="14" t="s">
        <v>135</v>
      </c>
      <c r="K22" s="15">
        <v>3.21</v>
      </c>
      <c r="L22" s="15">
        <v>14.760000000000002</v>
      </c>
      <c r="M22" s="15"/>
      <c r="N22" s="15"/>
      <c r="O22" s="15"/>
      <c r="P22" s="15"/>
      <c r="Q22" s="15"/>
      <c r="R22" s="106">
        <v>20</v>
      </c>
    </row>
    <row r="23" spans="1:18">
      <c r="A23" s="4">
        <f t="shared" ref="A23" si="18">A22+1</f>
        <v>1883</v>
      </c>
      <c r="B23" s="18">
        <f>AVERAGE(K243:K254)</f>
        <v>3.4574999999999996</v>
      </c>
      <c r="C23" s="18">
        <f>AVERAGE(L243:L254)</f>
        <v>21.32254324452202</v>
      </c>
      <c r="D23" s="18">
        <f>AVERAGE(M243:M254)</f>
        <v>15.208333333376055</v>
      </c>
      <c r="E23" s="18">
        <f>AVERAGE(N243:N254)</f>
        <v>3.7341666666666669</v>
      </c>
      <c r="F23" s="18"/>
      <c r="G23" s="18">
        <f>AVERAGE(P243:P254)</f>
        <v>2.2150000000000003</v>
      </c>
      <c r="J23" s="14" t="s">
        <v>136</v>
      </c>
      <c r="K23" s="15">
        <v>3.24</v>
      </c>
      <c r="L23" s="15">
        <v>14.610000000000001</v>
      </c>
      <c r="M23" s="15"/>
      <c r="N23" s="15"/>
      <c r="O23" s="15"/>
      <c r="P23" s="15"/>
      <c r="Q23" s="15"/>
      <c r="R23" s="106">
        <v>21</v>
      </c>
    </row>
    <row r="24" spans="1:18">
      <c r="A24" s="4">
        <f t="shared" ref="A24" si="19">A23+1</f>
        <v>1884</v>
      </c>
      <c r="B24" s="18">
        <f>AVERAGE(K255:K266)</f>
        <v>3.3707960653985456</v>
      </c>
      <c r="C24" s="18">
        <f>AVERAGE(L255:L266)</f>
        <v>20.565886600035455</v>
      </c>
      <c r="D24" s="18">
        <f>AVERAGE(M255:M266)</f>
        <v>19.425833333410235</v>
      </c>
      <c r="E24" s="18">
        <f>AVERAGE(N255:N266)</f>
        <v>3.9966666666666666</v>
      </c>
      <c r="F24" s="18"/>
      <c r="G24" s="18">
        <f>AVERAGE(P255:P266)</f>
        <v>1.8633333333333335</v>
      </c>
      <c r="J24" s="14" t="s">
        <v>192</v>
      </c>
      <c r="K24" s="15">
        <v>3.16</v>
      </c>
      <c r="L24" s="15">
        <v>14.87</v>
      </c>
      <c r="M24" s="15"/>
      <c r="N24" s="15"/>
      <c r="O24" s="15"/>
      <c r="P24" s="15"/>
      <c r="Q24" s="15"/>
      <c r="R24" s="106">
        <v>22</v>
      </c>
    </row>
    <row r="25" spans="1:18">
      <c r="A25" s="4">
        <f t="shared" ref="A25" si="20">A24+1</f>
        <v>1885</v>
      </c>
      <c r="B25" s="18">
        <f>AVERAGE(K267:K278)</f>
        <v>2.9083268982309662</v>
      </c>
      <c r="C25" s="18">
        <f>AVERAGE(L267:L278)</f>
        <v>21.228469656038683</v>
      </c>
      <c r="D25" s="18">
        <f>AVERAGE(M267:M278)</f>
        <v>9.7118087032398588</v>
      </c>
      <c r="E25" s="18">
        <f>AVERAGE(N267:N278)</f>
        <v>2.9416666666666664</v>
      </c>
      <c r="F25" s="18"/>
      <c r="G25" s="18">
        <f>AVERAGE(P267:P278)</f>
        <v>1.4416666666666667</v>
      </c>
      <c r="J25" s="14" t="s">
        <v>193</v>
      </c>
      <c r="K25" s="15">
        <v>3.09</v>
      </c>
      <c r="L25" s="15">
        <v>14.74</v>
      </c>
      <c r="M25" s="15"/>
      <c r="N25" s="15"/>
      <c r="O25" s="15"/>
      <c r="P25" s="15"/>
      <c r="Q25" s="15"/>
      <c r="R25" s="106">
        <v>23</v>
      </c>
    </row>
    <row r="26" spans="1:18">
      <c r="A26" s="4">
        <f t="shared" ref="A26" si="21">A25+1</f>
        <v>1886</v>
      </c>
      <c r="B26" s="18">
        <f>AVERAGE(K279:K290)</f>
        <v>3.2541666666666664</v>
      </c>
      <c r="C26" s="18">
        <f>AVERAGE(L279:L290)</f>
        <v>17.493873532379425</v>
      </c>
      <c r="D26" s="18">
        <f>AVERAGE(M279:M290)</f>
        <v>4.5230920250663127</v>
      </c>
      <c r="E26" s="18">
        <f>AVERAGE(N279:N290)</f>
        <v>4.2441666666666666</v>
      </c>
      <c r="F26" s="18"/>
      <c r="G26" s="18">
        <f>AVERAGE(P279:P290)</f>
        <v>1.7566666666666668</v>
      </c>
      <c r="J26" s="14" t="s">
        <v>194</v>
      </c>
      <c r="K26" s="15">
        <v>3</v>
      </c>
      <c r="L26" s="15">
        <v>13.970000000000002</v>
      </c>
      <c r="M26" s="15"/>
      <c r="N26" s="15"/>
      <c r="O26" s="15"/>
      <c r="P26" s="15"/>
      <c r="Q26" s="15"/>
      <c r="R26" s="106">
        <v>24</v>
      </c>
    </row>
    <row r="27" spans="1:18">
      <c r="A27" s="4">
        <f t="shared" ref="A27" si="22">A26+1</f>
        <v>1887</v>
      </c>
      <c r="B27" s="18">
        <f>AVERAGE(K291:K302)</f>
        <v>3.3463299641814785</v>
      </c>
      <c r="C27" s="87">
        <f>AVERAGE(L291:L302)</f>
        <v>18.165200233485574</v>
      </c>
      <c r="D27" s="18">
        <f>AVERAGE(M291:M302)</f>
        <v>3.6466666666666665</v>
      </c>
      <c r="E27" s="18">
        <f>AVERAGE(N291:N302)</f>
        <v>3.216227423317727</v>
      </c>
      <c r="F27" s="18"/>
      <c r="G27" s="18">
        <f>AVERAGE(P291:P302)</f>
        <v>1.6608333333333334</v>
      </c>
      <c r="I27" s="4">
        <f t="shared" ref="I27" si="23">I15+1</f>
        <v>1865</v>
      </c>
      <c r="J27" s="14" t="s">
        <v>96</v>
      </c>
      <c r="K27" s="15">
        <v>3.07</v>
      </c>
      <c r="L27" s="15">
        <v>13</v>
      </c>
      <c r="M27" s="15"/>
      <c r="N27" s="15"/>
      <c r="O27" s="15"/>
      <c r="P27" s="15"/>
      <c r="Q27" s="15"/>
      <c r="R27" s="106">
        <v>25</v>
      </c>
    </row>
    <row r="28" spans="1:18">
      <c r="A28" s="4">
        <f t="shared" ref="A28" si="24">A27+1</f>
        <v>1888</v>
      </c>
      <c r="B28" s="18">
        <f>AVERAGE(K303:K314)</f>
        <v>2.7833333333333332</v>
      </c>
      <c r="C28" s="18">
        <f>AVERAGE(L303:L314)</f>
        <v>16.706643321727299</v>
      </c>
      <c r="D28" s="18">
        <f>AVERAGE(M303:M314)</f>
        <v>3.6658333333333331</v>
      </c>
      <c r="E28" s="18">
        <f>AVERAGE(N303:N314)</f>
        <v>2.7243134916655163</v>
      </c>
      <c r="F28" s="18"/>
      <c r="G28" s="18">
        <f>AVERAGE(P303:P314)</f>
        <v>2.0136631992796805</v>
      </c>
      <c r="J28" s="14" t="s">
        <v>97</v>
      </c>
      <c r="K28" s="15">
        <v>3.16</v>
      </c>
      <c r="L28" s="15">
        <v>12.91</v>
      </c>
      <c r="M28" s="15"/>
      <c r="N28" s="15"/>
      <c r="O28" s="15"/>
      <c r="P28" s="15"/>
      <c r="Q28" s="15"/>
      <c r="R28" s="106">
        <v>26</v>
      </c>
    </row>
    <row r="29" spans="1:18">
      <c r="A29" s="4">
        <f t="shared" ref="A29" si="25">A28+1</f>
        <v>1889</v>
      </c>
      <c r="B29" s="18">
        <f>AVERAGE(K315:K326)</f>
        <v>3.0256857003892605</v>
      </c>
      <c r="C29" s="18">
        <f>AVERAGE(L315:L326)</f>
        <v>13.552619859331019</v>
      </c>
      <c r="D29" s="18">
        <f>AVERAGE(M315:M326)</f>
        <v>3.656693654191121</v>
      </c>
      <c r="E29" s="87">
        <f>AVERAGE(N315:N326)</f>
        <v>2.8349963180595776</v>
      </c>
      <c r="F29" s="18"/>
      <c r="G29" s="18">
        <f>AVERAGE(P315:P326)</f>
        <v>1.5067722574227476</v>
      </c>
      <c r="J29" s="14" t="s">
        <v>130</v>
      </c>
      <c r="K29" s="15">
        <v>3.32</v>
      </c>
      <c r="L29" s="15">
        <v>12.57</v>
      </c>
      <c r="M29" s="15"/>
      <c r="N29" s="15"/>
      <c r="O29" s="15"/>
      <c r="P29" s="15"/>
      <c r="Q29" s="15"/>
      <c r="R29" s="106">
        <v>27</v>
      </c>
    </row>
    <row r="30" spans="1:18">
      <c r="A30" s="4">
        <f t="shared" ref="A30" si="26">A29+1</f>
        <v>1890</v>
      </c>
      <c r="B30" s="18">
        <f>AVERAGE(K327:K338)</f>
        <v>3.0825778479074479</v>
      </c>
      <c r="C30" s="18">
        <f>AVERAGE(L327:L338)</f>
        <v>13.104414353587737</v>
      </c>
      <c r="D30" s="18">
        <f>AVERAGE(M327:M338)</f>
        <v>3.9833943767779956</v>
      </c>
      <c r="E30" s="18">
        <f>AVERAGE(N327:N338)</f>
        <v>3.0502013407574289</v>
      </c>
      <c r="F30" s="18"/>
      <c r="G30" s="18">
        <f>AVERAGE(P327:P338)</f>
        <v>1.4033333333333335</v>
      </c>
      <c r="J30" s="14" t="s">
        <v>131</v>
      </c>
      <c r="K30" s="15">
        <v>3.06</v>
      </c>
      <c r="L30" s="15">
        <v>12.8</v>
      </c>
      <c r="M30" s="15"/>
      <c r="N30" s="15"/>
      <c r="O30" s="15"/>
      <c r="P30" s="15"/>
      <c r="Q30" s="15"/>
      <c r="R30" s="106">
        <v>28</v>
      </c>
    </row>
    <row r="31" spans="1:18">
      <c r="A31" s="4">
        <f t="shared" ref="A31" si="27">A30+1</f>
        <v>1891</v>
      </c>
      <c r="B31" s="18">
        <f>AVERAGE(K339:K350)</f>
        <v>2.7518951611066433</v>
      </c>
      <c r="C31" s="18">
        <f>AVERAGE(L339:L350)</f>
        <v>12.589191172605355</v>
      </c>
      <c r="D31" s="18">
        <f>AVERAGE(M339:M350)</f>
        <v>4.4490658975968769</v>
      </c>
      <c r="E31" s="18">
        <f>AVERAGE(N339:N350)</f>
        <v>3.6766012601305733</v>
      </c>
      <c r="F31" s="18"/>
      <c r="G31" s="18">
        <f>AVERAGE(P339:P350)</f>
        <v>2.2960680983324768</v>
      </c>
      <c r="J31" s="14" t="s">
        <v>132</v>
      </c>
      <c r="K31" s="15">
        <v>2.9</v>
      </c>
      <c r="L31" s="15">
        <v>12.46</v>
      </c>
      <c r="M31" s="15"/>
      <c r="N31" s="15"/>
      <c r="O31" s="15"/>
      <c r="P31" s="15"/>
      <c r="Q31" s="15"/>
      <c r="R31" s="106">
        <v>29</v>
      </c>
    </row>
    <row r="32" spans="1:18">
      <c r="A32" s="4">
        <f t="shared" ref="A32" si="28">A31+1</f>
        <v>1892</v>
      </c>
      <c r="B32" s="18">
        <f>AVERAGE(K351:K362)</f>
        <v>2.5099802568611742</v>
      </c>
      <c r="C32" s="18">
        <f>AVERAGE(L351:L362)</f>
        <v>12.687898828435481</v>
      </c>
      <c r="D32" s="18">
        <f>AVERAGE(M351:M362)</f>
        <v>4.0290208216170846</v>
      </c>
      <c r="E32" s="18">
        <f>AVERAGE(N351:N362)</f>
        <v>2.8946695109117235</v>
      </c>
      <c r="F32" s="18"/>
      <c r="G32" s="18">
        <f>AVERAGE(P351:P362)</f>
        <v>1.7621730767897992</v>
      </c>
      <c r="J32" s="14" t="s">
        <v>133</v>
      </c>
      <c r="K32" s="15">
        <v>2.88</v>
      </c>
      <c r="L32" s="15">
        <v>12.46</v>
      </c>
      <c r="M32" s="15"/>
      <c r="N32" s="15"/>
      <c r="O32" s="15"/>
      <c r="P32" s="15"/>
      <c r="Q32" s="15"/>
      <c r="R32" s="106">
        <v>30</v>
      </c>
    </row>
    <row r="33" spans="1:18">
      <c r="A33" s="4">
        <f t="shared" ref="A33" si="29">A32+1</f>
        <v>1893</v>
      </c>
      <c r="B33" s="18">
        <f t="shared" ref="B33:G33" si="30">AVERAGE(K363:K374)</f>
        <v>2.8464988149936992</v>
      </c>
      <c r="C33" s="18">
        <f t="shared" si="30"/>
        <v>12.958151098225786</v>
      </c>
      <c r="D33" s="18">
        <f t="shared" si="30"/>
        <v>4.3193011417982445</v>
      </c>
      <c r="E33" s="18">
        <f t="shared" si="30"/>
        <v>2.3698062433607183</v>
      </c>
      <c r="F33" s="18">
        <f>AVERAGE(O363:O374)</f>
        <v>31.70686294029931</v>
      </c>
      <c r="G33" s="18">
        <f t="shared" si="30"/>
        <v>2.0515425323219998</v>
      </c>
      <c r="J33" s="14" t="s">
        <v>134</v>
      </c>
      <c r="K33" s="15">
        <v>2.9</v>
      </c>
      <c r="L33" s="15">
        <v>12.46</v>
      </c>
      <c r="M33" s="15"/>
      <c r="N33" s="15"/>
      <c r="O33" s="15"/>
      <c r="P33" s="15"/>
      <c r="Q33" s="15"/>
      <c r="R33" s="106">
        <v>31</v>
      </c>
    </row>
    <row r="34" spans="1:18">
      <c r="A34" s="4">
        <f t="shared" ref="A34" si="31">A33+1</f>
        <v>1894</v>
      </c>
      <c r="B34" s="18">
        <f t="shared" ref="B34:G34" si="32">AVERAGE(K375:K386)</f>
        <v>2.5149463671556709</v>
      </c>
      <c r="C34" s="18">
        <f t="shared" si="32"/>
        <v>13.255735303136726</v>
      </c>
      <c r="D34" s="18">
        <f t="shared" si="32"/>
        <v>3.5708333333333333</v>
      </c>
      <c r="E34" s="18">
        <f t="shared" si="32"/>
        <v>1.8141666666666667</v>
      </c>
      <c r="F34" s="87">
        <f t="shared" si="32"/>
        <v>26.734327193413119</v>
      </c>
      <c r="G34" s="18">
        <f t="shared" si="32"/>
        <v>1.8941666666666663</v>
      </c>
      <c r="J34" s="14" t="s">
        <v>135</v>
      </c>
      <c r="K34" s="15">
        <v>3</v>
      </c>
      <c r="L34" s="15">
        <v>13.03</v>
      </c>
      <c r="M34" s="15"/>
      <c r="N34" s="15"/>
      <c r="O34" s="15"/>
      <c r="P34" s="15"/>
      <c r="Q34" s="15"/>
      <c r="R34" s="106">
        <v>32</v>
      </c>
    </row>
    <row r="35" spans="1:18">
      <c r="A35" s="4">
        <f t="shared" ref="A35" si="33">A34+1</f>
        <v>1895</v>
      </c>
      <c r="B35" s="18">
        <f t="shared" ref="B35:G35" si="34">AVERAGE(K387:K398)</f>
        <v>2.4993633655840566</v>
      </c>
      <c r="C35" s="18">
        <f t="shared" si="34"/>
        <v>19.003163050342714</v>
      </c>
      <c r="D35" s="18">
        <f t="shared" si="34"/>
        <v>2.9980505837310569</v>
      </c>
      <c r="E35" s="18">
        <f t="shared" si="34"/>
        <v>2.3280578675992034</v>
      </c>
      <c r="F35" s="18">
        <f t="shared" si="34"/>
        <v>30.422313184778204</v>
      </c>
      <c r="G35" s="18">
        <f t="shared" si="34"/>
        <v>1.4461403654257543</v>
      </c>
      <c r="J35" s="14" t="s">
        <v>136</v>
      </c>
      <c r="K35" s="15">
        <v>3.1</v>
      </c>
      <c r="L35" s="15">
        <v>12.86</v>
      </c>
      <c r="M35" s="15"/>
      <c r="N35" s="15"/>
      <c r="O35" s="15"/>
      <c r="P35" s="15"/>
      <c r="Q35" s="15"/>
      <c r="R35" s="106">
        <v>33</v>
      </c>
    </row>
    <row r="36" spans="1:18">
      <c r="A36" s="4">
        <f t="shared" ref="A36" si="35">A35+1</f>
        <v>1896</v>
      </c>
      <c r="B36" s="18">
        <f t="shared" ref="B36:G36" si="36">AVERAGE(K399:K410)</f>
        <v>2.7475000000000001</v>
      </c>
      <c r="C36" s="18">
        <f t="shared" si="36"/>
        <v>16.644166666666667</v>
      </c>
      <c r="D36" s="18">
        <f t="shared" si="36"/>
        <v>3.0128202614398538</v>
      </c>
      <c r="E36" s="87">
        <f t="shared" si="36"/>
        <v>2.8990898329177419</v>
      </c>
      <c r="F36" s="18">
        <f t="shared" si="36"/>
        <v>29.284999999999997</v>
      </c>
      <c r="G36" s="18">
        <f t="shared" si="36"/>
        <v>1.0850000000000002</v>
      </c>
      <c r="J36" s="14" t="s">
        <v>192</v>
      </c>
      <c r="K36" s="15">
        <v>2.94</v>
      </c>
      <c r="L36" s="15">
        <v>12.689999999999998</v>
      </c>
      <c r="M36" s="15"/>
      <c r="N36" s="15"/>
      <c r="O36" s="15"/>
      <c r="P36" s="15"/>
      <c r="Q36" s="15"/>
      <c r="R36" s="106">
        <v>34</v>
      </c>
    </row>
    <row r="37" spans="1:18">
      <c r="A37" s="4">
        <f t="shared" ref="A37" si="37">A36+1</f>
        <v>1897</v>
      </c>
      <c r="B37" s="18">
        <f t="shared" ref="B37:G37" si="38">AVERAGE(K411:K422)</f>
        <v>2.3539493799328413</v>
      </c>
      <c r="C37" s="18">
        <f t="shared" si="38"/>
        <v>17.230376907817735</v>
      </c>
      <c r="D37" s="18">
        <f t="shared" si="38"/>
        <v>3.3224999999999998</v>
      </c>
      <c r="E37" s="18">
        <f t="shared" si="38"/>
        <v>3.3393786682599065</v>
      </c>
      <c r="F37" s="18">
        <f t="shared" si="38"/>
        <v>30.715833333333325</v>
      </c>
      <c r="G37" s="18">
        <f t="shared" si="38"/>
        <v>1.177417086658564</v>
      </c>
      <c r="J37" s="14" t="s">
        <v>193</v>
      </c>
      <c r="K37" s="15">
        <v>3.14</v>
      </c>
      <c r="L37" s="105">
        <f>L36+(L36*(RATE(($R$39-$R$36),0,L$36,-L$39)))</f>
        <v>12.838261075539275</v>
      </c>
      <c r="M37" s="15"/>
      <c r="N37" s="15"/>
      <c r="O37" s="15"/>
      <c r="P37" s="15"/>
      <c r="Q37" s="15"/>
      <c r="R37" s="106">
        <v>35</v>
      </c>
    </row>
    <row r="38" spans="1:18">
      <c r="A38" s="4">
        <f t="shared" ref="A38" si="39">A37+1</f>
        <v>1898</v>
      </c>
      <c r="B38" s="18">
        <f t="shared" ref="B38:G38" si="40">AVERAGE(K423:K434)</f>
        <v>2.4858333333333338</v>
      </c>
      <c r="C38" s="18">
        <f t="shared" si="40"/>
        <v>19.022664736007638</v>
      </c>
      <c r="D38" s="18">
        <f t="shared" si="40"/>
        <v>3.6430536657122201</v>
      </c>
      <c r="E38" s="18">
        <f t="shared" si="40"/>
        <v>3.3386542394422705</v>
      </c>
      <c r="F38" s="18">
        <f t="shared" si="40"/>
        <v>32.416666666666664</v>
      </c>
      <c r="G38" s="18">
        <f t="shared" si="40"/>
        <v>1.3324365032797283</v>
      </c>
      <c r="J38" s="14" t="s">
        <v>194</v>
      </c>
      <c r="K38" s="15">
        <v>3.11</v>
      </c>
      <c r="L38" s="105">
        <f>L37+(L37*(RATE(($R$39-$R$36),0,L$36,-L$39)))</f>
        <v>12.988254329685336</v>
      </c>
      <c r="M38" s="15"/>
      <c r="N38" s="15"/>
      <c r="O38" s="15"/>
      <c r="P38" s="15"/>
      <c r="Q38" s="15"/>
      <c r="R38" s="106">
        <v>36</v>
      </c>
    </row>
    <row r="39" spans="1:18">
      <c r="A39" s="4">
        <f t="shared" ref="A39" si="41">A38+1</f>
        <v>1899</v>
      </c>
      <c r="B39" s="18">
        <f t="shared" ref="B39:G39" si="42">AVERAGE(K435:K446)</f>
        <v>3.6511980445444934</v>
      </c>
      <c r="C39" s="18">
        <f t="shared" si="42"/>
        <v>19.656921184625272</v>
      </c>
      <c r="D39" s="18">
        <f t="shared" si="42"/>
        <v>3.8333333333333326</v>
      </c>
      <c r="E39" s="18">
        <f t="shared" si="42"/>
        <v>2.3958333333333335</v>
      </c>
      <c r="F39" s="18">
        <f t="shared" si="42"/>
        <v>35.625</v>
      </c>
      <c r="G39" s="18">
        <f t="shared" si="42"/>
        <v>1.2324999999999999</v>
      </c>
      <c r="I39" s="4">
        <f t="shared" ref="I39" si="43">I27+1</f>
        <v>1866</v>
      </c>
      <c r="J39" s="14" t="s">
        <v>96</v>
      </c>
      <c r="K39" s="15">
        <v>3.13</v>
      </c>
      <c r="L39" s="15">
        <v>13.140000000000002</v>
      </c>
      <c r="M39" s="15"/>
      <c r="N39" s="15"/>
      <c r="O39" s="15"/>
      <c r="P39" s="15"/>
      <c r="Q39" s="15"/>
      <c r="R39" s="106">
        <v>37</v>
      </c>
    </row>
    <row r="40" spans="1:18">
      <c r="A40" s="4">
        <f t="shared" ref="A40" si="44">A39+1</f>
        <v>1900</v>
      </c>
      <c r="B40" s="18">
        <f t="shared" ref="B40:G40" si="45">AVERAGE(K447:K458)</f>
        <v>2.9199805781370571</v>
      </c>
      <c r="C40" s="18">
        <f t="shared" si="45"/>
        <v>20.364573346219682</v>
      </c>
      <c r="D40" s="18">
        <f t="shared" si="45"/>
        <v>5.3032785816226164</v>
      </c>
      <c r="E40" s="18">
        <f t="shared" si="45"/>
        <v>2.58</v>
      </c>
      <c r="F40" s="18">
        <f t="shared" si="45"/>
        <v>41.345535037879898</v>
      </c>
      <c r="G40" s="18">
        <f t="shared" si="45"/>
        <v>1.5701125694800171</v>
      </c>
      <c r="J40" s="14" t="s">
        <v>97</v>
      </c>
      <c r="K40" s="15">
        <v>3.1</v>
      </c>
      <c r="L40" s="15">
        <v>13.089999999999998</v>
      </c>
      <c r="M40" s="15"/>
      <c r="N40" s="15"/>
      <c r="O40" s="15"/>
      <c r="P40" s="15"/>
      <c r="Q40" s="15"/>
      <c r="R40" s="106">
        <v>38</v>
      </c>
    </row>
    <row r="41" spans="1:18">
      <c r="A41" s="4">
        <f t="shared" ref="A41" si="46">A40+1</f>
        <v>1901</v>
      </c>
      <c r="B41" s="18">
        <f t="shared" ref="B41:G41" si="47">AVERAGE(K459:K470)</f>
        <v>2.0416666666666665</v>
      </c>
      <c r="C41" s="18">
        <f t="shared" si="47"/>
        <v>18.936574660692582</v>
      </c>
      <c r="D41" s="18">
        <f t="shared" si="47"/>
        <v>5.4123273671810574</v>
      </c>
      <c r="E41" s="18">
        <f t="shared" si="47"/>
        <v>2.8451591879757303</v>
      </c>
      <c r="F41" s="18">
        <f t="shared" si="47"/>
        <v>47.182531183237906</v>
      </c>
      <c r="G41" s="18">
        <f t="shared" si="47"/>
        <v>1.8975271495986215</v>
      </c>
      <c r="J41" s="14" t="s">
        <v>130</v>
      </c>
      <c r="K41" s="15">
        <v>2.99</v>
      </c>
      <c r="L41" s="15">
        <v>12.689999999999998</v>
      </c>
      <c r="M41" s="15"/>
      <c r="N41" s="15"/>
      <c r="O41" s="15"/>
      <c r="P41" s="15"/>
      <c r="Q41" s="15"/>
      <c r="R41" s="106">
        <v>39</v>
      </c>
    </row>
    <row r="42" spans="1:18">
      <c r="A42" s="4">
        <f t="shared" ref="A42" si="48">A41+1</f>
        <v>1902</v>
      </c>
      <c r="B42" s="18">
        <f t="shared" ref="B42:G42" si="49">AVERAGE(K471:K482)</f>
        <v>2.5375000000000001</v>
      </c>
      <c r="C42" s="18">
        <f t="shared" si="49"/>
        <v>18.267500000000002</v>
      </c>
      <c r="D42" s="18">
        <f t="shared" si="49"/>
        <v>5.4007578672894132</v>
      </c>
      <c r="E42" s="18">
        <f t="shared" si="49"/>
        <v>2.9547025445033075</v>
      </c>
      <c r="F42" s="18">
        <f t="shared" si="49"/>
        <v>42.050000000000004</v>
      </c>
      <c r="G42" s="18">
        <f t="shared" si="49"/>
        <v>2.0318550024538946</v>
      </c>
      <c r="J42" s="14" t="s">
        <v>131</v>
      </c>
      <c r="K42" s="15">
        <v>3.09</v>
      </c>
      <c r="L42" s="15">
        <v>12.86</v>
      </c>
      <c r="M42" s="15"/>
      <c r="N42" s="15"/>
      <c r="O42" s="15"/>
      <c r="P42" s="15"/>
      <c r="Q42" s="15"/>
      <c r="R42" s="106">
        <v>40</v>
      </c>
    </row>
    <row r="43" spans="1:18">
      <c r="A43" s="4">
        <f t="shared" ref="A43" si="50">A42+1</f>
        <v>1903</v>
      </c>
      <c r="B43" s="18">
        <f t="shared" ref="B43:G43" si="51">AVERAGE(K483:K494)</f>
        <v>3.148785579390649</v>
      </c>
      <c r="C43" s="18">
        <f t="shared" si="51"/>
        <v>19.460833333333333</v>
      </c>
      <c r="D43" s="18">
        <f t="shared" si="51"/>
        <v>3.8824999999999998</v>
      </c>
      <c r="E43" s="18">
        <f t="shared" si="51"/>
        <v>2.793333333333333</v>
      </c>
      <c r="F43" s="18">
        <f t="shared" si="51"/>
        <v>41.919166666666669</v>
      </c>
      <c r="G43" s="18">
        <f t="shared" si="51"/>
        <v>1.8100000000000003</v>
      </c>
      <c r="J43" s="14" t="s">
        <v>132</v>
      </c>
      <c r="K43" s="15">
        <v>3.1</v>
      </c>
      <c r="L43" s="15">
        <v>13.25</v>
      </c>
      <c r="M43" s="15"/>
      <c r="N43" s="15"/>
      <c r="O43" s="15"/>
      <c r="P43" s="15"/>
      <c r="Q43" s="15"/>
      <c r="R43" s="106">
        <v>41</v>
      </c>
    </row>
    <row r="44" spans="1:18">
      <c r="A44" s="4">
        <f t="shared" ref="A44" si="52">A43+1</f>
        <v>1904</v>
      </c>
      <c r="B44" s="18">
        <f t="shared" ref="B44:G44" si="53">AVERAGE(K495:K506)</f>
        <v>3.3865646894933423</v>
      </c>
      <c r="C44" s="18">
        <f t="shared" si="53"/>
        <v>18.625</v>
      </c>
      <c r="D44" s="18">
        <f t="shared" si="53"/>
        <v>3.4008333333333329</v>
      </c>
      <c r="E44" s="18">
        <f t="shared" si="53"/>
        <v>2.9641666666666673</v>
      </c>
      <c r="F44" s="18">
        <f t="shared" si="53"/>
        <v>33.779166666666669</v>
      </c>
      <c r="G44" s="18">
        <f t="shared" si="53"/>
        <v>1.7725</v>
      </c>
      <c r="J44" s="14" t="s">
        <v>133</v>
      </c>
      <c r="K44" s="15">
        <v>3.14</v>
      </c>
      <c r="L44" s="15">
        <v>13.930000000000001</v>
      </c>
      <c r="M44" s="15"/>
      <c r="N44" s="15"/>
      <c r="O44" s="15"/>
      <c r="P44" s="15"/>
      <c r="Q44" s="15"/>
      <c r="R44" s="106">
        <v>42</v>
      </c>
    </row>
    <row r="45" spans="1:18">
      <c r="A45" s="4">
        <f t="shared" ref="A45" si="54">A44+1</f>
        <v>1905</v>
      </c>
      <c r="B45" s="18">
        <f t="shared" ref="B45:G45" si="55">AVERAGE(K507:K518)</f>
        <v>3.9801711167188789</v>
      </c>
      <c r="C45" s="18">
        <f t="shared" si="55"/>
        <v>22.696666666666669</v>
      </c>
      <c r="D45" s="18">
        <f t="shared" si="55"/>
        <v>4.1375000000000002</v>
      </c>
      <c r="E45" s="18">
        <f t="shared" si="55"/>
        <v>3.0183333333333331</v>
      </c>
      <c r="F45" s="18">
        <f t="shared" si="55"/>
        <v>34.74666666666667</v>
      </c>
      <c r="G45" s="18">
        <f t="shared" si="55"/>
        <v>2.0850000000000004</v>
      </c>
      <c r="J45" s="14" t="s">
        <v>134</v>
      </c>
      <c r="K45" s="15">
        <v>3.06</v>
      </c>
      <c r="L45" s="15">
        <v>13.99</v>
      </c>
      <c r="M45" s="15"/>
      <c r="N45" s="15"/>
      <c r="O45" s="15"/>
      <c r="P45" s="15"/>
      <c r="Q45" s="15"/>
      <c r="R45" s="106">
        <v>43</v>
      </c>
    </row>
    <row r="46" spans="1:18">
      <c r="A46" s="4">
        <f t="shared" ref="A46" si="56">A45+1</f>
        <v>1906</v>
      </c>
      <c r="B46" s="18">
        <f t="shared" ref="B46:G46" si="57">AVERAGE(K519:K530)</f>
        <v>4.4230222993883386</v>
      </c>
      <c r="C46" s="18">
        <f t="shared" si="57"/>
        <v>25.601666666666663</v>
      </c>
      <c r="D46" s="18">
        <f t="shared" si="57"/>
        <v>4.7683333333333335</v>
      </c>
      <c r="E46" s="18">
        <f t="shared" si="57"/>
        <v>3.0041666666666664</v>
      </c>
      <c r="F46" s="18">
        <f t="shared" si="57"/>
        <v>38.44</v>
      </c>
      <c r="G46" s="18">
        <f t="shared" si="57"/>
        <v>2.0024999999999999</v>
      </c>
      <c r="J46" s="14" t="s">
        <v>135</v>
      </c>
      <c r="K46" s="15">
        <v>2.99</v>
      </c>
      <c r="L46" s="15">
        <v>13.37</v>
      </c>
      <c r="M46" s="15"/>
      <c r="N46" s="15"/>
      <c r="O46" s="15"/>
      <c r="P46" s="15"/>
      <c r="Q46" s="15"/>
      <c r="R46" s="106">
        <v>44</v>
      </c>
    </row>
    <row r="47" spans="1:18">
      <c r="A47" s="4">
        <f t="shared" ref="A47" si="58">A46+1</f>
        <v>1907</v>
      </c>
      <c r="B47" s="18">
        <f t="shared" ref="B47:G47" si="59">AVERAGE(K531:K542)</f>
        <v>4.261448396468114</v>
      </c>
      <c r="C47" s="18">
        <f t="shared" si="59"/>
        <v>24.455833333333331</v>
      </c>
      <c r="D47" s="18">
        <f t="shared" si="59"/>
        <v>4.8683333333333332</v>
      </c>
      <c r="E47" s="18">
        <f t="shared" si="59"/>
        <v>3.5083333333333333</v>
      </c>
      <c r="F47" s="18">
        <f t="shared" si="59"/>
        <v>40.986666666666665</v>
      </c>
      <c r="G47" s="18">
        <f t="shared" si="59"/>
        <v>2.2691666666666666</v>
      </c>
      <c r="J47" s="14" t="s">
        <v>136</v>
      </c>
      <c r="K47" s="15">
        <v>3</v>
      </c>
      <c r="L47" s="15">
        <v>13.600000000000001</v>
      </c>
      <c r="M47" s="15"/>
      <c r="N47" s="15"/>
      <c r="O47" s="15"/>
      <c r="P47" s="15"/>
      <c r="Q47" s="15"/>
      <c r="R47" s="106">
        <v>45</v>
      </c>
    </row>
    <row r="48" spans="1:18">
      <c r="A48" s="4">
        <f t="shared" ref="A48" si="60">A47+1</f>
        <v>1908</v>
      </c>
      <c r="B48" s="18">
        <f t="shared" ref="B48:G48" si="61">AVERAGE(K543:K554)</f>
        <v>2.9541666666666671</v>
      </c>
      <c r="C48" s="18">
        <f t="shared" si="61"/>
        <v>20.176644851508442</v>
      </c>
      <c r="D48" s="18">
        <f t="shared" si="61"/>
        <v>4.7155450349939763</v>
      </c>
      <c r="E48" s="18">
        <f t="shared" si="61"/>
        <v>3.6918776362643251</v>
      </c>
      <c r="F48" s="18">
        <f t="shared" si="61"/>
        <v>43.50333333333333</v>
      </c>
      <c r="G48" s="18">
        <f t="shared" si="61"/>
        <v>2.455833333333334</v>
      </c>
      <c r="J48" s="14" t="s">
        <v>192</v>
      </c>
      <c r="K48" s="15">
        <v>2.93</v>
      </c>
      <c r="L48" s="15">
        <v>13.600000000000001</v>
      </c>
      <c r="M48" s="15"/>
      <c r="N48" s="15"/>
      <c r="O48" s="15"/>
      <c r="P48" s="15"/>
      <c r="Q48" s="15"/>
      <c r="R48" s="106">
        <v>46</v>
      </c>
    </row>
    <row r="49" spans="1:21">
      <c r="A49" s="4">
        <f t="shared" ref="A49" si="62">A48+1</f>
        <v>1909</v>
      </c>
      <c r="B49" s="18">
        <f t="shared" ref="B49:G49" si="63">AVERAGE(K555:K566)</f>
        <v>3.8774999999999999</v>
      </c>
      <c r="C49" s="18">
        <f t="shared" si="63"/>
        <v>27.516666666666666</v>
      </c>
      <c r="D49" s="18">
        <f t="shared" si="63"/>
        <v>5.3225000000000007</v>
      </c>
      <c r="E49" s="18">
        <f t="shared" si="63"/>
        <v>4.3014697697331918</v>
      </c>
      <c r="F49" s="18">
        <f t="shared" si="63"/>
        <v>47.01</v>
      </c>
      <c r="G49" s="18">
        <f t="shared" si="63"/>
        <v>2.54</v>
      </c>
      <c r="J49" s="14" t="s">
        <v>193</v>
      </c>
      <c r="K49" s="15">
        <v>3.32</v>
      </c>
      <c r="L49" s="15">
        <v>13.71</v>
      </c>
      <c r="M49" s="15"/>
      <c r="N49" s="15"/>
      <c r="O49" s="15"/>
      <c r="P49" s="15"/>
      <c r="Q49" s="15"/>
      <c r="R49" s="106">
        <v>47</v>
      </c>
    </row>
    <row r="50" spans="1:21">
      <c r="A50" s="4">
        <f t="shared" ref="A50" si="64">A49+1</f>
        <v>1910</v>
      </c>
      <c r="B50" s="18">
        <f t="shared" ref="B50:G50" si="65">AVERAGE(K567:K578)</f>
        <v>4.4740404931270463</v>
      </c>
      <c r="C50" s="18">
        <f t="shared" si="65"/>
        <v>29.529166666666669</v>
      </c>
      <c r="D50" s="18">
        <f t="shared" si="65"/>
        <v>7.53</v>
      </c>
      <c r="E50" s="18">
        <f t="shared" si="65"/>
        <v>3.8033333333333332</v>
      </c>
      <c r="F50" s="18">
        <f t="shared" si="65"/>
        <v>53.625</v>
      </c>
      <c r="G50" s="18">
        <f t="shared" si="65"/>
        <v>2.3516666666666661</v>
      </c>
      <c r="J50" s="14" t="s">
        <v>194</v>
      </c>
      <c r="K50" s="15">
        <v>3</v>
      </c>
      <c r="L50" s="15">
        <v>13.819999999999999</v>
      </c>
      <c r="M50" s="15"/>
      <c r="N50" s="15"/>
      <c r="O50" s="15"/>
      <c r="P50" s="15"/>
      <c r="Q50" s="15"/>
      <c r="R50" s="106">
        <v>48</v>
      </c>
    </row>
    <row r="51" spans="1:21">
      <c r="A51" s="4">
        <f t="shared" ref="A51" si="66">A50+1</f>
        <v>1911</v>
      </c>
      <c r="B51" s="18">
        <f t="shared" ref="B51:G51" si="67">AVERAGE(K579:K590)</f>
        <v>3.9713326227823607</v>
      </c>
      <c r="C51" s="18">
        <f t="shared" si="67"/>
        <v>28.341666666666669</v>
      </c>
      <c r="D51" s="18">
        <f t="shared" si="67"/>
        <v>7.9033333333333324</v>
      </c>
      <c r="E51" s="18">
        <f t="shared" si="67"/>
        <v>3.6833333333333336</v>
      </c>
      <c r="F51" s="18">
        <f t="shared" si="67"/>
        <v>52.221666666666671</v>
      </c>
      <c r="G51" s="18">
        <f t="shared" si="67"/>
        <v>2.312687931043071</v>
      </c>
      <c r="I51" s="4">
        <f t="shared" ref="I51" si="68">I39+1</f>
        <v>1867</v>
      </c>
      <c r="J51" s="14" t="s">
        <v>96</v>
      </c>
      <c r="K51" s="15">
        <v>2.59</v>
      </c>
      <c r="L51" s="15">
        <v>13.600000000000001</v>
      </c>
      <c r="M51" s="15"/>
      <c r="N51" s="15"/>
      <c r="O51" s="15"/>
      <c r="P51" s="15"/>
      <c r="Q51" s="15"/>
      <c r="R51" s="106">
        <v>49</v>
      </c>
    </row>
    <row r="52" spans="1:21">
      <c r="A52" s="4">
        <f t="shared" ref="A52" si="69">A51+1</f>
        <v>1912</v>
      </c>
      <c r="B52" s="18">
        <f t="shared" ref="B52:G52" si="70">AVERAGE(K591:K602)</f>
        <v>4.082224908985908</v>
      </c>
      <c r="C52" s="18">
        <f t="shared" si="70"/>
        <v>32.778333333333329</v>
      </c>
      <c r="D52" s="18">
        <f t="shared" si="70"/>
        <v>6.4950000000000001</v>
      </c>
      <c r="E52" s="18">
        <f t="shared" si="70"/>
        <v>3.7591666666666672</v>
      </c>
      <c r="F52" s="18">
        <f t="shared" si="70"/>
        <v>53.666666666666664</v>
      </c>
      <c r="G52" s="18">
        <f t="shared" si="70"/>
        <v>2.1969507425759418</v>
      </c>
      <c r="J52" s="14" t="s">
        <v>97</v>
      </c>
      <c r="K52" s="15">
        <v>2.79</v>
      </c>
      <c r="L52" s="15">
        <v>13.54</v>
      </c>
      <c r="M52" s="15"/>
      <c r="N52" s="15"/>
      <c r="O52" s="15"/>
      <c r="P52" s="15"/>
      <c r="Q52" s="15"/>
      <c r="R52" s="106">
        <v>50</v>
      </c>
    </row>
    <row r="53" spans="1:21">
      <c r="A53" s="4">
        <f t="shared" ref="A53" si="71">A52+1</f>
        <v>1913</v>
      </c>
      <c r="B53" s="18">
        <f t="shared" ref="B53:G53" si="72">AVERAGE(K603:K614)</f>
        <v>4.3995680222639821</v>
      </c>
      <c r="C53" s="18">
        <f t="shared" si="72"/>
        <v>40.099166666666669</v>
      </c>
      <c r="D53" s="18">
        <f t="shared" si="72"/>
        <v>4.934166666666667</v>
      </c>
      <c r="E53" s="18">
        <f t="shared" si="72"/>
        <v>3.7766666666666668</v>
      </c>
      <c r="F53" s="18">
        <f t="shared" si="72"/>
        <v>63.176666666666655</v>
      </c>
      <c r="G53" s="18">
        <f t="shared" si="72"/>
        <v>2.2916666666666665</v>
      </c>
      <c r="J53" s="14" t="s">
        <v>130</v>
      </c>
      <c r="K53" s="15">
        <v>2.7</v>
      </c>
      <c r="L53" s="15">
        <v>13.819999999999999</v>
      </c>
      <c r="M53" s="15"/>
      <c r="N53" s="15"/>
      <c r="O53" s="15"/>
      <c r="P53" s="15"/>
      <c r="Q53" s="15"/>
      <c r="R53" s="106">
        <v>51</v>
      </c>
    </row>
    <row r="54" spans="1:21">
      <c r="A54" s="15"/>
      <c r="B54" s="15"/>
      <c r="C54" s="15"/>
      <c r="D54" s="15"/>
      <c r="E54" s="15"/>
      <c r="F54" s="15"/>
      <c r="G54" s="15"/>
      <c r="H54" s="15"/>
      <c r="J54" s="14" t="s">
        <v>131</v>
      </c>
      <c r="K54" s="15">
        <v>2.7</v>
      </c>
      <c r="L54" s="15">
        <v>14.05</v>
      </c>
      <c r="M54" s="15"/>
      <c r="N54" s="15"/>
      <c r="O54" s="15"/>
      <c r="P54" s="15"/>
      <c r="Q54" s="15"/>
      <c r="R54" s="106">
        <v>52</v>
      </c>
      <c r="S54" s="15"/>
      <c r="T54" s="15"/>
      <c r="U54" s="15"/>
    </row>
    <row r="55" spans="1:21">
      <c r="A55" s="15"/>
      <c r="B55" s="15"/>
      <c r="C55" s="15"/>
      <c r="D55" s="15"/>
      <c r="E55" s="15"/>
      <c r="F55" s="15"/>
      <c r="G55" s="15"/>
      <c r="H55" s="15"/>
      <c r="J55" s="14" t="s">
        <v>132</v>
      </c>
      <c r="K55" s="15">
        <v>2.7</v>
      </c>
      <c r="L55" s="15">
        <v>14.27</v>
      </c>
      <c r="M55" s="15"/>
      <c r="N55" s="15"/>
      <c r="O55" s="15"/>
      <c r="P55" s="15"/>
      <c r="Q55" s="15"/>
      <c r="R55" s="106">
        <v>53</v>
      </c>
      <c r="S55" s="15"/>
      <c r="T55" s="15"/>
      <c r="U55" s="15"/>
    </row>
    <row r="56" spans="1:21">
      <c r="A56" s="15"/>
      <c r="B56" s="15"/>
      <c r="C56" s="15"/>
      <c r="D56" s="15"/>
      <c r="E56" s="15"/>
      <c r="F56" s="15"/>
      <c r="G56" s="15"/>
      <c r="H56" s="15"/>
      <c r="J56" s="14" t="s">
        <v>133</v>
      </c>
      <c r="K56" s="15">
        <v>2.7</v>
      </c>
      <c r="L56" s="15">
        <v>14.499999999999998</v>
      </c>
      <c r="M56" s="15"/>
      <c r="N56" s="15"/>
      <c r="O56" s="15"/>
      <c r="P56" s="15"/>
      <c r="Q56" s="15"/>
      <c r="R56" s="106">
        <v>54</v>
      </c>
      <c r="S56" s="15"/>
      <c r="T56" s="15"/>
      <c r="U56" s="15"/>
    </row>
    <row r="57" spans="1:21">
      <c r="A57" s="15"/>
      <c r="B57" s="15"/>
      <c r="C57" s="15"/>
      <c r="D57" s="15"/>
      <c r="E57" s="15"/>
      <c r="F57" s="15"/>
      <c r="G57" s="15"/>
      <c r="H57" s="15"/>
      <c r="J57" s="14" t="s">
        <v>134</v>
      </c>
      <c r="K57" s="15">
        <v>2.66</v>
      </c>
      <c r="L57" s="15">
        <v>15.07</v>
      </c>
      <c r="M57" s="15"/>
      <c r="N57" s="15"/>
      <c r="O57" s="15"/>
      <c r="P57" s="15"/>
      <c r="Q57" s="15"/>
      <c r="R57" s="106">
        <v>55</v>
      </c>
      <c r="S57" s="15"/>
      <c r="T57" s="15"/>
      <c r="U57" s="15"/>
    </row>
    <row r="58" spans="1:21">
      <c r="A58" s="15"/>
      <c r="B58" s="15"/>
      <c r="C58" s="15"/>
      <c r="D58" s="15"/>
      <c r="E58" s="15"/>
      <c r="F58" s="15"/>
      <c r="G58" s="15"/>
      <c r="H58" s="15"/>
      <c r="J58" s="14" t="s">
        <v>135</v>
      </c>
      <c r="K58" s="15">
        <v>2.66</v>
      </c>
      <c r="L58" s="15">
        <v>15.629999999999999</v>
      </c>
      <c r="M58" s="15"/>
      <c r="N58" s="15"/>
      <c r="O58" s="15"/>
      <c r="P58" s="15"/>
      <c r="Q58" s="15"/>
      <c r="R58" s="106">
        <v>56</v>
      </c>
      <c r="S58" s="15"/>
      <c r="T58" s="15"/>
      <c r="U58" s="15"/>
    </row>
    <row r="59" spans="1:21">
      <c r="A59" s="15"/>
      <c r="B59" s="15"/>
      <c r="C59" s="15"/>
      <c r="D59" s="15"/>
      <c r="E59" s="15"/>
      <c r="F59" s="15"/>
      <c r="G59" s="15"/>
      <c r="H59" s="15"/>
      <c r="J59" s="14" t="s">
        <v>136</v>
      </c>
      <c r="K59" s="15">
        <v>2.68</v>
      </c>
      <c r="L59" s="105">
        <f>L58+(L58*(RATE(($R$62-$R$58),0,L$58,-L$62)))</f>
        <v>15.729054386628809</v>
      </c>
      <c r="M59" s="15"/>
      <c r="N59" s="15"/>
      <c r="O59" s="15"/>
      <c r="P59" s="15"/>
      <c r="Q59" s="15"/>
      <c r="R59" s="106">
        <v>57</v>
      </c>
      <c r="S59" s="15"/>
      <c r="T59" s="15"/>
      <c r="U59" s="15"/>
    </row>
    <row r="60" spans="1:21">
      <c r="A60" s="15"/>
      <c r="B60" s="15"/>
      <c r="C60" s="15"/>
      <c r="D60" s="15"/>
      <c r="E60" s="15"/>
      <c r="F60" s="15"/>
      <c r="G60" s="15"/>
      <c r="H60" s="15"/>
      <c r="J60" s="14" t="s">
        <v>192</v>
      </c>
      <c r="K60" s="15">
        <v>2.48</v>
      </c>
      <c r="L60" s="105">
        <f>L59+(L59*(RATE(($R$62-$R$58),0,L$58,-L$62)))</f>
        <v>15.828736525753486</v>
      </c>
      <c r="M60" s="15"/>
      <c r="N60" s="15"/>
      <c r="O60" s="15"/>
      <c r="P60" s="15"/>
      <c r="Q60" s="15"/>
      <c r="R60" s="106">
        <v>58</v>
      </c>
      <c r="S60" s="15"/>
      <c r="T60" s="15"/>
      <c r="U60" s="15"/>
    </row>
    <row r="61" spans="1:21">
      <c r="A61" s="15"/>
      <c r="B61" s="15"/>
      <c r="C61" s="15"/>
      <c r="D61" s="15"/>
      <c r="E61" s="15"/>
      <c r="F61" s="15"/>
      <c r="G61" s="15"/>
      <c r="H61" s="15"/>
      <c r="J61" s="14" t="s">
        <v>193</v>
      </c>
      <c r="K61" s="15">
        <v>2.61</v>
      </c>
      <c r="L61" s="105">
        <f>L60+(L60*(RATE(($R$62-$R$58),0,L$58,-L$62)))</f>
        <v>15.929050395725818</v>
      </c>
      <c r="M61" s="15"/>
      <c r="N61" s="15"/>
      <c r="O61" s="15"/>
      <c r="P61" s="15"/>
      <c r="Q61" s="15"/>
      <c r="R61" s="106">
        <v>59</v>
      </c>
      <c r="S61" s="15"/>
      <c r="T61" s="15"/>
      <c r="U61" s="15"/>
    </row>
    <row r="62" spans="1:21">
      <c r="A62" s="15"/>
      <c r="B62" s="15"/>
      <c r="C62" s="15"/>
      <c r="D62" s="15"/>
      <c r="E62" s="15"/>
      <c r="F62" s="15"/>
      <c r="G62" s="15"/>
      <c r="H62" s="15"/>
      <c r="J62" s="14" t="s">
        <v>194</v>
      </c>
      <c r="K62" s="15">
        <v>2.54</v>
      </c>
      <c r="L62" s="15">
        <v>16.03</v>
      </c>
      <c r="M62" s="15"/>
      <c r="N62" s="15"/>
      <c r="O62" s="15"/>
      <c r="P62" s="15"/>
      <c r="Q62" s="15"/>
      <c r="R62" s="106">
        <v>60</v>
      </c>
      <c r="S62" s="15"/>
      <c r="T62" s="15"/>
      <c r="U62" s="15"/>
    </row>
    <row r="63" spans="1:21">
      <c r="A63" s="15"/>
      <c r="B63" s="15"/>
      <c r="C63" s="15"/>
      <c r="D63" s="15"/>
      <c r="E63" s="15"/>
      <c r="F63" s="15"/>
      <c r="G63" s="15"/>
      <c r="H63" s="15"/>
      <c r="I63" s="4">
        <f t="shared" ref="I63" si="73">I51+1</f>
        <v>1868</v>
      </c>
      <c r="J63" s="14" t="s">
        <v>96</v>
      </c>
      <c r="K63" s="15">
        <v>2.4900000000000002</v>
      </c>
      <c r="L63" s="15">
        <v>16.45</v>
      </c>
      <c r="M63" s="15"/>
      <c r="N63" s="15"/>
      <c r="O63" s="15"/>
      <c r="P63" s="15"/>
      <c r="Q63" s="15"/>
      <c r="R63" s="106">
        <v>61</v>
      </c>
      <c r="S63" s="15"/>
      <c r="T63" s="15"/>
      <c r="U63" s="15"/>
    </row>
    <row r="64" spans="1:21">
      <c r="A64" s="15"/>
      <c r="B64" s="15"/>
      <c r="C64" s="15"/>
      <c r="D64" s="15"/>
      <c r="E64" s="15"/>
      <c r="F64" s="15"/>
      <c r="G64" s="15"/>
      <c r="H64" s="15"/>
      <c r="J64" s="14" t="s">
        <v>97</v>
      </c>
      <c r="K64" s="15">
        <v>2.65</v>
      </c>
      <c r="L64" s="105">
        <f>L63+(L63*(RATE(($R$65-$R$63),0,L$63,-L$65)))</f>
        <v>16.609229362014364</v>
      </c>
      <c r="M64" s="15"/>
      <c r="N64" s="15"/>
      <c r="O64" s="15"/>
      <c r="P64" s="15"/>
      <c r="Q64" s="15"/>
      <c r="R64" s="106">
        <v>62</v>
      </c>
      <c r="S64" s="15"/>
      <c r="T64" s="15"/>
      <c r="U64" s="15"/>
    </row>
    <row r="65" spans="1:21">
      <c r="A65" s="15"/>
      <c r="B65" s="15"/>
      <c r="C65" s="15"/>
      <c r="D65" s="15"/>
      <c r="E65" s="15"/>
      <c r="F65" s="15"/>
      <c r="G65" s="15"/>
      <c r="H65" s="15"/>
      <c r="J65" s="14" t="s">
        <v>130</v>
      </c>
      <c r="K65" s="15">
        <v>2.7</v>
      </c>
      <c r="L65" s="15">
        <v>16.77</v>
      </c>
      <c r="M65" s="15"/>
      <c r="N65" s="15"/>
      <c r="O65" s="15"/>
      <c r="P65" s="15"/>
      <c r="Q65" s="15"/>
      <c r="R65" s="106">
        <v>63</v>
      </c>
      <c r="S65" s="15"/>
      <c r="T65" s="15"/>
      <c r="U65" s="15"/>
    </row>
    <row r="66" spans="1:21">
      <c r="A66" s="15"/>
      <c r="B66" s="15"/>
      <c r="C66" s="15"/>
      <c r="D66" s="15"/>
      <c r="E66" s="15"/>
      <c r="F66" s="15"/>
      <c r="G66" s="15"/>
      <c r="H66" s="15"/>
      <c r="J66" s="14" t="s">
        <v>131</v>
      </c>
      <c r="K66" s="15">
        <v>2.7</v>
      </c>
      <c r="L66" s="15">
        <v>16.78</v>
      </c>
      <c r="M66" s="15"/>
      <c r="N66" s="15"/>
      <c r="O66" s="15"/>
      <c r="P66" s="15"/>
      <c r="Q66" s="15"/>
      <c r="R66" s="106">
        <v>64</v>
      </c>
      <c r="S66" s="15"/>
      <c r="T66" s="15"/>
      <c r="U66" s="15"/>
    </row>
    <row r="67" spans="1:21">
      <c r="A67" s="15"/>
      <c r="B67" s="15"/>
      <c r="C67" s="15"/>
      <c r="D67" s="15"/>
      <c r="E67" s="15"/>
      <c r="F67" s="15"/>
      <c r="G67" s="15"/>
      <c r="H67" s="15"/>
      <c r="J67" s="14" t="s">
        <v>132</v>
      </c>
      <c r="K67" s="15">
        <v>2.56</v>
      </c>
      <c r="L67" s="15">
        <v>17</v>
      </c>
      <c r="M67" s="15"/>
      <c r="N67" s="15"/>
      <c r="O67" s="15"/>
      <c r="P67" s="15"/>
      <c r="Q67" s="15"/>
      <c r="R67" s="106">
        <v>65</v>
      </c>
      <c r="S67" s="15"/>
      <c r="T67" s="15"/>
      <c r="U67" s="15"/>
    </row>
    <row r="68" spans="1:21">
      <c r="A68" s="15"/>
      <c r="B68" s="15"/>
      <c r="C68" s="15"/>
      <c r="D68" s="15"/>
      <c r="E68" s="15"/>
      <c r="F68" s="15"/>
      <c r="G68" s="15"/>
      <c r="H68" s="15"/>
      <c r="J68" s="14" t="s">
        <v>133</v>
      </c>
      <c r="K68" s="15">
        <v>2.61</v>
      </c>
      <c r="L68" s="15">
        <v>16.63</v>
      </c>
      <c r="M68" s="15"/>
      <c r="N68" s="15"/>
      <c r="O68" s="15"/>
      <c r="P68" s="15"/>
      <c r="Q68" s="15"/>
      <c r="R68" s="106">
        <v>66</v>
      </c>
      <c r="S68" s="15"/>
      <c r="T68" s="15"/>
      <c r="U68" s="15"/>
    </row>
    <row r="69" spans="1:21">
      <c r="A69" s="15"/>
      <c r="B69" s="15"/>
      <c r="C69" s="15"/>
      <c r="D69" s="15"/>
      <c r="E69" s="15"/>
      <c r="F69" s="15"/>
      <c r="G69" s="15"/>
      <c r="H69" s="15"/>
      <c r="J69" s="14" t="s">
        <v>134</v>
      </c>
      <c r="K69" s="15">
        <v>2.61</v>
      </c>
      <c r="L69" s="15">
        <v>16.54</v>
      </c>
      <c r="M69" s="15"/>
      <c r="N69" s="15"/>
      <c r="O69" s="15"/>
      <c r="P69" s="15"/>
      <c r="Q69" s="15"/>
      <c r="R69" s="106">
        <v>67</v>
      </c>
      <c r="S69" s="15"/>
      <c r="T69" s="15"/>
      <c r="U69" s="15"/>
    </row>
    <row r="70" spans="1:21">
      <c r="A70" s="15"/>
      <c r="B70" s="15"/>
      <c r="C70" s="15"/>
      <c r="D70" s="15"/>
      <c r="E70" s="15"/>
      <c r="F70" s="15"/>
      <c r="G70" s="15"/>
      <c r="H70" s="15"/>
      <c r="J70" s="14" t="s">
        <v>135</v>
      </c>
      <c r="K70" s="15">
        <v>2.61</v>
      </c>
      <c r="L70" s="15">
        <v>16.649999999999999</v>
      </c>
      <c r="M70" s="15"/>
      <c r="N70" s="15"/>
      <c r="O70" s="15"/>
      <c r="P70" s="15"/>
      <c r="Q70" s="15"/>
      <c r="R70" s="106">
        <v>68</v>
      </c>
      <c r="S70" s="15"/>
      <c r="T70" s="15"/>
      <c r="U70" s="15"/>
    </row>
    <row r="71" spans="1:21">
      <c r="A71" s="15"/>
      <c r="B71" s="15"/>
      <c r="C71" s="15"/>
      <c r="D71" s="15"/>
      <c r="E71" s="15"/>
      <c r="F71" s="15"/>
      <c r="G71" s="15"/>
      <c r="H71" s="15"/>
      <c r="J71" s="14" t="s">
        <v>136</v>
      </c>
      <c r="K71" s="15">
        <v>2.61</v>
      </c>
      <c r="L71" s="15">
        <v>16.82</v>
      </c>
      <c r="M71" s="15"/>
      <c r="N71" s="15"/>
      <c r="O71" s="15"/>
      <c r="P71" s="15"/>
      <c r="Q71" s="15"/>
      <c r="R71" s="106">
        <v>69</v>
      </c>
      <c r="S71" s="15"/>
      <c r="T71" s="15"/>
      <c r="U71" s="15"/>
    </row>
    <row r="72" spans="1:21">
      <c r="A72" s="15"/>
      <c r="B72" s="15"/>
      <c r="C72" s="15"/>
      <c r="D72" s="15"/>
      <c r="E72" s="15"/>
      <c r="F72" s="15"/>
      <c r="G72" s="15"/>
      <c r="H72" s="15"/>
      <c r="J72" s="14" t="s">
        <v>192</v>
      </c>
      <c r="K72" s="15">
        <v>2.61</v>
      </c>
      <c r="L72" s="105">
        <f>L71+(L71*(RATE(($R$74-$R$71),0,L$71,-L$74)))</f>
        <v>16.879787232555852</v>
      </c>
      <c r="M72" s="15"/>
      <c r="N72" s="15"/>
      <c r="O72" s="15"/>
      <c r="P72" s="15"/>
      <c r="Q72" s="15"/>
      <c r="R72" s="106">
        <v>70</v>
      </c>
      <c r="S72" s="15"/>
      <c r="T72" s="15"/>
      <c r="U72" s="15"/>
    </row>
    <row r="73" spans="1:21">
      <c r="A73" s="15"/>
      <c r="B73" s="15"/>
      <c r="C73" s="15"/>
      <c r="D73" s="15"/>
      <c r="E73" s="15"/>
      <c r="F73" s="15"/>
      <c r="G73" s="15"/>
      <c r="H73" s="15"/>
      <c r="J73" s="14" t="s">
        <v>193</v>
      </c>
      <c r="K73" s="15">
        <v>2.35</v>
      </c>
      <c r="L73" s="105">
        <f>L72+(L72*(RATE(($R$74-$R$71),0,L$71,-L$74)))</f>
        <v>16.939786980758356</v>
      </c>
      <c r="M73" s="15"/>
      <c r="N73" s="15"/>
      <c r="O73" s="15"/>
      <c r="P73" s="15"/>
      <c r="Q73" s="15"/>
      <c r="R73" s="106">
        <v>71</v>
      </c>
      <c r="S73" s="15"/>
      <c r="T73" s="15"/>
      <c r="U73" s="15"/>
    </row>
    <row r="74" spans="1:21">
      <c r="A74" s="15"/>
      <c r="B74" s="15"/>
      <c r="C74" s="15"/>
      <c r="D74" s="15"/>
      <c r="E74" s="15"/>
      <c r="F74" s="15"/>
      <c r="G74" s="15"/>
      <c r="H74" s="15"/>
      <c r="J74" s="14" t="s">
        <v>194</v>
      </c>
      <c r="K74" s="15">
        <v>2.4</v>
      </c>
      <c r="L74" s="15">
        <v>17</v>
      </c>
      <c r="M74" s="15"/>
      <c r="N74" s="15"/>
      <c r="O74" s="15"/>
      <c r="P74" s="15"/>
      <c r="Q74" s="15"/>
      <c r="R74" s="106">
        <v>72</v>
      </c>
      <c r="S74" s="15"/>
      <c r="T74" s="15"/>
      <c r="U74" s="15"/>
    </row>
    <row r="75" spans="1:21">
      <c r="A75" s="15"/>
      <c r="B75" s="15"/>
      <c r="C75" s="15"/>
      <c r="D75" s="15"/>
      <c r="E75" s="15"/>
      <c r="F75" s="15"/>
      <c r="G75" s="15"/>
      <c r="H75" s="15"/>
      <c r="I75" s="4">
        <f t="shared" ref="I75" si="74">I63+1</f>
        <v>1869</v>
      </c>
      <c r="J75" s="14" t="s">
        <v>96</v>
      </c>
      <c r="K75" s="15">
        <v>2.52</v>
      </c>
      <c r="L75" s="15">
        <v>16.809999999999999</v>
      </c>
      <c r="M75" s="15"/>
      <c r="N75" s="15"/>
      <c r="O75" s="15"/>
      <c r="P75" s="15"/>
      <c r="Q75" s="15"/>
      <c r="R75" s="106">
        <v>73</v>
      </c>
      <c r="S75" s="15"/>
      <c r="T75" s="15"/>
      <c r="U75" s="15"/>
    </row>
    <row r="76" spans="1:21">
      <c r="A76" s="15"/>
      <c r="B76" s="15"/>
      <c r="C76" s="15"/>
      <c r="D76" s="15"/>
      <c r="E76" s="15"/>
      <c r="F76" s="15"/>
      <c r="G76" s="15"/>
      <c r="H76" s="15"/>
      <c r="J76" s="14" t="s">
        <v>97</v>
      </c>
      <c r="K76" s="15">
        <v>2.52</v>
      </c>
      <c r="L76" s="15">
        <v>16.649999999999999</v>
      </c>
      <c r="M76" s="15"/>
      <c r="N76" s="15"/>
      <c r="O76" s="15"/>
      <c r="P76" s="15"/>
      <c r="Q76" s="15"/>
      <c r="R76" s="106">
        <v>74</v>
      </c>
      <c r="S76" s="15"/>
      <c r="T76" s="15"/>
      <c r="U76" s="15"/>
    </row>
    <row r="77" spans="1:21">
      <c r="A77" s="15"/>
      <c r="B77" s="15"/>
      <c r="C77" s="15"/>
      <c r="D77" s="15"/>
      <c r="E77" s="15"/>
      <c r="F77" s="15"/>
      <c r="G77" s="15"/>
      <c r="H77" s="15"/>
      <c r="J77" s="14" t="s">
        <v>130</v>
      </c>
      <c r="K77" s="15">
        <v>2.52</v>
      </c>
      <c r="L77" s="15">
        <v>16.68</v>
      </c>
      <c r="M77" s="15"/>
      <c r="N77" s="15"/>
      <c r="O77" s="15"/>
      <c r="P77" s="15"/>
      <c r="Q77" s="15"/>
      <c r="R77" s="106">
        <v>75</v>
      </c>
      <c r="S77" s="15"/>
      <c r="T77" s="15"/>
      <c r="U77" s="15"/>
    </row>
    <row r="78" spans="1:21">
      <c r="A78" s="15"/>
      <c r="B78" s="15"/>
      <c r="C78" s="15"/>
      <c r="D78" s="15"/>
      <c r="E78" s="15"/>
      <c r="F78" s="15"/>
      <c r="G78" s="15"/>
      <c r="H78" s="15"/>
      <c r="J78" s="14" t="s">
        <v>131</v>
      </c>
      <c r="K78" s="15">
        <v>2.58</v>
      </c>
      <c r="L78" s="15">
        <v>16.7</v>
      </c>
      <c r="M78" s="15"/>
      <c r="N78" s="15"/>
      <c r="O78" s="15"/>
      <c r="P78" s="15"/>
      <c r="Q78" s="15"/>
      <c r="R78" s="106">
        <v>76</v>
      </c>
      <c r="S78" s="15"/>
      <c r="T78" s="15"/>
      <c r="U78" s="15"/>
    </row>
    <row r="79" spans="1:21">
      <c r="A79" s="15"/>
      <c r="B79" s="15"/>
      <c r="C79" s="15"/>
      <c r="D79" s="15"/>
      <c r="E79" s="15"/>
      <c r="F79" s="15"/>
      <c r="G79" s="15"/>
      <c r="H79" s="15"/>
      <c r="J79" s="14" t="s">
        <v>132</v>
      </c>
      <c r="K79" s="15">
        <v>2.35</v>
      </c>
      <c r="L79" s="15">
        <v>16.59</v>
      </c>
      <c r="M79" s="15"/>
      <c r="N79" s="15"/>
      <c r="O79" s="15"/>
      <c r="P79" s="15"/>
      <c r="Q79" s="15"/>
      <c r="R79" s="106">
        <v>77</v>
      </c>
      <c r="S79" s="15"/>
      <c r="T79" s="15"/>
      <c r="U79" s="15"/>
    </row>
    <row r="80" spans="1:21">
      <c r="A80" s="15"/>
      <c r="B80" s="15"/>
      <c r="C80" s="15"/>
      <c r="D80" s="15"/>
      <c r="E80" s="15"/>
      <c r="F80" s="15"/>
      <c r="G80" s="15"/>
      <c r="H80" s="15"/>
      <c r="J80" s="14" t="s">
        <v>133</v>
      </c>
      <c r="K80" s="15">
        <v>2.1</v>
      </c>
      <c r="L80" s="15">
        <v>16.25</v>
      </c>
      <c r="M80" s="15"/>
      <c r="N80" s="15"/>
      <c r="O80" s="15"/>
      <c r="P80" s="15"/>
      <c r="Q80" s="15"/>
      <c r="R80" s="106">
        <v>78</v>
      </c>
      <c r="S80" s="15"/>
      <c r="T80" s="15"/>
      <c r="U80" s="15"/>
    </row>
    <row r="81" spans="1:21">
      <c r="A81" s="15"/>
      <c r="B81" s="15"/>
      <c r="C81" s="15"/>
      <c r="D81" s="15"/>
      <c r="E81" s="15"/>
      <c r="F81" s="15"/>
      <c r="G81" s="15"/>
      <c r="H81" s="15"/>
      <c r="J81" s="14" t="s">
        <v>134</v>
      </c>
      <c r="K81" s="15">
        <v>1.92</v>
      </c>
      <c r="L81" s="15">
        <v>15.86</v>
      </c>
      <c r="M81" s="15"/>
      <c r="N81" s="15"/>
      <c r="O81" s="15"/>
      <c r="P81" s="15"/>
      <c r="Q81" s="15"/>
      <c r="R81" s="106">
        <v>79</v>
      </c>
      <c r="S81" s="15"/>
      <c r="T81" s="15"/>
      <c r="U81" s="15"/>
    </row>
    <row r="82" spans="1:21">
      <c r="A82" s="15"/>
      <c r="B82" s="15"/>
      <c r="C82" s="15"/>
      <c r="D82" s="15"/>
      <c r="E82" s="15"/>
      <c r="F82" s="15"/>
      <c r="G82" s="15"/>
      <c r="H82" s="15"/>
      <c r="J82" s="14" t="s">
        <v>135</v>
      </c>
      <c r="K82" s="15">
        <v>1.83</v>
      </c>
      <c r="L82" s="15">
        <v>15.75</v>
      </c>
      <c r="M82" s="15"/>
      <c r="N82" s="15"/>
      <c r="O82" s="15"/>
      <c r="P82" s="15"/>
      <c r="Q82" s="15"/>
      <c r="R82" s="106">
        <v>80</v>
      </c>
      <c r="S82" s="15"/>
      <c r="T82" s="15"/>
      <c r="U82" s="15"/>
    </row>
    <row r="83" spans="1:21">
      <c r="A83" s="15"/>
      <c r="B83" s="15"/>
      <c r="C83" s="15"/>
      <c r="D83" s="15"/>
      <c r="E83" s="15"/>
      <c r="F83" s="15"/>
      <c r="G83" s="15"/>
      <c r="H83" s="15"/>
      <c r="J83" s="14" t="s">
        <v>136</v>
      </c>
      <c r="K83" s="15">
        <v>1.83</v>
      </c>
      <c r="L83" s="15">
        <v>15.75</v>
      </c>
      <c r="M83" s="15"/>
      <c r="N83" s="15"/>
      <c r="O83" s="15"/>
      <c r="P83" s="15"/>
      <c r="Q83" s="15"/>
      <c r="R83" s="106">
        <v>81</v>
      </c>
      <c r="S83" s="15"/>
      <c r="T83" s="15"/>
      <c r="U83" s="15"/>
    </row>
    <row r="84" spans="1:21">
      <c r="A84" s="15"/>
      <c r="B84" s="15"/>
      <c r="C84" s="15"/>
      <c r="D84" s="15"/>
      <c r="E84" s="15"/>
      <c r="F84" s="15"/>
      <c r="G84" s="15"/>
      <c r="H84" s="15"/>
      <c r="J84" s="14" t="s">
        <v>192</v>
      </c>
      <c r="K84" s="15">
        <v>1.83</v>
      </c>
      <c r="L84" s="15">
        <v>15.810000000000002</v>
      </c>
      <c r="M84" s="15"/>
      <c r="N84" s="15"/>
      <c r="O84" s="15"/>
      <c r="P84" s="15"/>
      <c r="Q84" s="15"/>
      <c r="R84" s="106">
        <v>82</v>
      </c>
      <c r="S84" s="15"/>
      <c r="T84" s="15"/>
      <c r="U84" s="15"/>
    </row>
    <row r="85" spans="1:21">
      <c r="A85" s="15"/>
      <c r="B85" s="15"/>
      <c r="C85" s="15"/>
      <c r="D85" s="15"/>
      <c r="E85" s="15"/>
      <c r="F85" s="15"/>
      <c r="G85" s="15"/>
      <c r="H85" s="15"/>
      <c r="J85" s="14" t="s">
        <v>193</v>
      </c>
      <c r="K85" s="15">
        <v>2</v>
      </c>
      <c r="L85" s="15">
        <v>15.97</v>
      </c>
      <c r="M85" s="15"/>
      <c r="N85" s="15"/>
      <c r="O85" s="15"/>
      <c r="P85" s="15"/>
      <c r="Q85" s="15"/>
      <c r="R85" s="106">
        <v>83</v>
      </c>
      <c r="S85" s="15"/>
      <c r="T85" s="15"/>
      <c r="U85" s="15"/>
    </row>
    <row r="86" spans="1:21">
      <c r="A86" s="15"/>
      <c r="B86" s="15"/>
      <c r="C86" s="15"/>
      <c r="D86" s="15"/>
      <c r="E86" s="15"/>
      <c r="F86" s="15"/>
      <c r="G86" s="15"/>
      <c r="H86" s="15"/>
      <c r="J86" s="14" t="s">
        <v>194</v>
      </c>
      <c r="K86" s="15">
        <v>2.35</v>
      </c>
      <c r="L86" s="15">
        <v>16.489999999999998</v>
      </c>
      <c r="M86" s="15"/>
      <c r="N86" s="15"/>
      <c r="O86" s="15"/>
      <c r="P86" s="15"/>
      <c r="Q86" s="15"/>
      <c r="R86" s="106">
        <v>84</v>
      </c>
      <c r="S86" s="15"/>
      <c r="T86" s="15"/>
      <c r="U86" s="15"/>
    </row>
    <row r="87" spans="1:21">
      <c r="A87" s="15"/>
      <c r="B87" s="15"/>
      <c r="C87" s="15"/>
      <c r="D87" s="15"/>
      <c r="E87" s="15"/>
      <c r="F87" s="15"/>
      <c r="G87" s="15"/>
      <c r="H87" s="15"/>
      <c r="I87" s="4">
        <f t="shared" ref="I87" si="75">I75+1</f>
        <v>1870</v>
      </c>
      <c r="J87" s="14" t="s">
        <v>96</v>
      </c>
      <c r="K87" s="15">
        <v>2.35</v>
      </c>
      <c r="L87" s="15">
        <v>16.63</v>
      </c>
      <c r="M87" s="15"/>
      <c r="N87" s="15"/>
      <c r="O87" s="15"/>
      <c r="P87" s="15"/>
      <c r="Q87" s="15"/>
      <c r="R87" s="106">
        <v>85</v>
      </c>
      <c r="S87" s="15"/>
      <c r="T87" s="15"/>
      <c r="U87" s="15"/>
    </row>
    <row r="88" spans="1:21">
      <c r="A88" s="15"/>
      <c r="B88" s="15"/>
      <c r="C88" s="15"/>
      <c r="D88" s="15"/>
      <c r="E88" s="15"/>
      <c r="F88" s="15"/>
      <c r="G88" s="15"/>
      <c r="H88" s="15"/>
      <c r="J88" s="14" t="s">
        <v>97</v>
      </c>
      <c r="K88" s="15">
        <v>2.35</v>
      </c>
      <c r="L88" s="15">
        <v>15.590000000000002</v>
      </c>
      <c r="M88" s="15"/>
      <c r="N88" s="15"/>
      <c r="O88" s="15"/>
      <c r="P88" s="15"/>
      <c r="Q88" s="15"/>
      <c r="R88" s="106">
        <v>86</v>
      </c>
      <c r="S88" s="15"/>
      <c r="T88" s="15"/>
      <c r="U88" s="15"/>
    </row>
    <row r="89" spans="1:21">
      <c r="A89" s="15"/>
      <c r="B89" s="15"/>
      <c r="C89" s="15"/>
      <c r="D89" s="15"/>
      <c r="E89" s="15"/>
      <c r="F89" s="15"/>
      <c r="G89" s="15"/>
      <c r="H89" s="15"/>
      <c r="J89" s="14" t="s">
        <v>130</v>
      </c>
      <c r="K89" s="15">
        <v>2.29</v>
      </c>
      <c r="L89" s="15">
        <v>16.77</v>
      </c>
      <c r="M89" s="15"/>
      <c r="N89" s="15"/>
      <c r="O89" s="15"/>
      <c r="P89" s="15"/>
      <c r="Q89" s="15"/>
      <c r="R89" s="106">
        <v>87</v>
      </c>
      <c r="S89" s="15"/>
      <c r="T89" s="15"/>
      <c r="U89" s="15"/>
    </row>
    <row r="90" spans="1:21">
      <c r="A90" s="15"/>
      <c r="B90" s="15"/>
      <c r="C90" s="15"/>
      <c r="D90" s="15"/>
      <c r="E90" s="15"/>
      <c r="F90" s="15"/>
      <c r="G90" s="15"/>
      <c r="H90" s="15"/>
      <c r="J90" s="14" t="s">
        <v>131</v>
      </c>
      <c r="K90" s="15">
        <v>2.35</v>
      </c>
      <c r="L90" s="15">
        <v>17.39</v>
      </c>
      <c r="M90" s="15"/>
      <c r="N90" s="15"/>
      <c r="O90" s="15"/>
      <c r="P90" s="15"/>
      <c r="Q90" s="15"/>
      <c r="R90" s="106">
        <v>88</v>
      </c>
      <c r="S90" s="15"/>
      <c r="T90" s="15"/>
      <c r="U90" s="15"/>
    </row>
    <row r="91" spans="1:21">
      <c r="A91" s="15"/>
      <c r="B91" s="15"/>
      <c r="C91" s="15"/>
      <c r="D91" s="15"/>
      <c r="E91" s="15"/>
      <c r="F91" s="15"/>
      <c r="G91" s="15"/>
      <c r="H91" s="15"/>
      <c r="J91" s="14" t="s">
        <v>132</v>
      </c>
      <c r="K91" s="15">
        <v>2.4900000000000002</v>
      </c>
      <c r="L91" s="15">
        <v>17.329999999999998</v>
      </c>
      <c r="M91" s="15"/>
      <c r="N91" s="15"/>
      <c r="O91" s="15"/>
      <c r="P91" s="15"/>
      <c r="Q91" s="15"/>
      <c r="R91" s="106">
        <v>89</v>
      </c>
      <c r="S91" s="15"/>
      <c r="T91" s="15"/>
      <c r="U91" s="15"/>
    </row>
    <row r="92" spans="1:21">
      <c r="A92" s="15"/>
      <c r="B92" s="15"/>
      <c r="C92" s="15"/>
      <c r="D92" s="15"/>
      <c r="E92" s="15"/>
      <c r="F92" s="15"/>
      <c r="G92" s="15"/>
      <c r="H92" s="15"/>
      <c r="J92" s="14" t="s">
        <v>133</v>
      </c>
      <c r="K92" s="15">
        <v>2.4900000000000002</v>
      </c>
      <c r="L92" s="15">
        <v>17.39</v>
      </c>
      <c r="M92" s="15"/>
      <c r="N92" s="15"/>
      <c r="O92" s="15"/>
      <c r="P92" s="15"/>
      <c r="Q92" s="15"/>
      <c r="R92" s="106">
        <v>90</v>
      </c>
      <c r="S92" s="15"/>
      <c r="T92" s="15"/>
      <c r="U92" s="15"/>
    </row>
    <row r="93" spans="1:21">
      <c r="A93" s="15"/>
      <c r="B93" s="15"/>
      <c r="C93" s="15"/>
      <c r="D93" s="15"/>
      <c r="E93" s="15"/>
      <c r="F93" s="15"/>
      <c r="G93" s="15"/>
      <c r="H93" s="15"/>
      <c r="J93" s="14" t="s">
        <v>134</v>
      </c>
      <c r="K93" s="15">
        <v>2.4900000000000002</v>
      </c>
      <c r="L93" s="15">
        <v>17.5</v>
      </c>
      <c r="M93" s="15"/>
      <c r="N93" s="15"/>
      <c r="O93" s="15"/>
      <c r="P93" s="15"/>
      <c r="Q93" s="15"/>
      <c r="R93" s="106">
        <v>91</v>
      </c>
      <c r="S93" s="15"/>
      <c r="T93" s="15"/>
      <c r="U93" s="15"/>
    </row>
    <row r="94" spans="1:21">
      <c r="A94" s="15"/>
      <c r="B94" s="15"/>
      <c r="C94" s="15"/>
      <c r="D94" s="15"/>
      <c r="E94" s="15"/>
      <c r="F94" s="15"/>
      <c r="G94" s="15"/>
      <c r="H94" s="15"/>
      <c r="J94" s="14" t="s">
        <v>135</v>
      </c>
      <c r="K94" s="15">
        <v>2.4900000000000002</v>
      </c>
      <c r="L94" s="15">
        <v>17.559999999999999</v>
      </c>
      <c r="M94" s="15"/>
      <c r="N94" s="15"/>
      <c r="O94" s="15"/>
      <c r="P94" s="15"/>
      <c r="Q94" s="15"/>
      <c r="R94" s="106">
        <v>92</v>
      </c>
      <c r="S94" s="15"/>
      <c r="T94" s="15"/>
      <c r="U94" s="15"/>
    </row>
    <row r="95" spans="1:21">
      <c r="A95" s="15"/>
      <c r="B95" s="15"/>
      <c r="C95" s="15"/>
      <c r="D95" s="15"/>
      <c r="E95" s="15"/>
      <c r="F95" s="15"/>
      <c r="G95" s="15"/>
      <c r="H95" s="15"/>
      <c r="J95" s="14" t="s">
        <v>136</v>
      </c>
      <c r="K95" s="15">
        <v>2.35</v>
      </c>
      <c r="L95" s="15">
        <v>17.47</v>
      </c>
      <c r="M95" s="15"/>
      <c r="N95" s="15"/>
      <c r="O95" s="15"/>
      <c r="P95" s="15"/>
      <c r="Q95" s="15"/>
      <c r="R95" s="106">
        <v>93</v>
      </c>
      <c r="S95" s="15"/>
      <c r="T95" s="15"/>
      <c r="U95" s="15"/>
    </row>
    <row r="96" spans="1:21">
      <c r="A96" s="15"/>
      <c r="B96" s="15"/>
      <c r="C96" s="15"/>
      <c r="D96" s="15"/>
      <c r="E96" s="15"/>
      <c r="F96" s="15"/>
      <c r="G96" s="15"/>
      <c r="H96" s="15"/>
      <c r="J96" s="14" t="s">
        <v>192</v>
      </c>
      <c r="K96" s="105">
        <f>K95+(K95*(RATE(($R$98-$R$95),0,K$95,-K$98)))</f>
        <v>2.2919091901293012</v>
      </c>
      <c r="L96" s="15">
        <v>16.940000000000001</v>
      </c>
      <c r="M96" s="15"/>
      <c r="N96" s="15"/>
      <c r="O96" s="15"/>
      <c r="P96" s="15"/>
      <c r="Q96" s="15"/>
      <c r="R96" s="106">
        <v>94</v>
      </c>
      <c r="S96" s="15"/>
      <c r="T96" s="15"/>
      <c r="U96" s="15"/>
    </row>
    <row r="97" spans="1:21">
      <c r="A97" s="15"/>
      <c r="B97" s="15"/>
      <c r="C97" s="15"/>
      <c r="D97" s="15"/>
      <c r="E97" s="15"/>
      <c r="F97" s="15"/>
      <c r="G97" s="15"/>
      <c r="H97" s="15"/>
      <c r="J97" s="14" t="s">
        <v>193</v>
      </c>
      <c r="K97" s="105">
        <f>K96+(K96*(RATE(($R$98-$R$95),0,K$95,-K$98)))</f>
        <v>2.2352543556592122</v>
      </c>
      <c r="L97" s="15">
        <v>17.05</v>
      </c>
      <c r="M97" s="15"/>
      <c r="N97" s="15"/>
      <c r="O97" s="15"/>
      <c r="P97" s="15"/>
      <c r="Q97" s="15"/>
      <c r="R97" s="106">
        <v>95</v>
      </c>
      <c r="S97" s="15"/>
      <c r="T97" s="15"/>
      <c r="U97" s="15"/>
    </row>
    <row r="98" spans="1:21">
      <c r="A98" s="15"/>
      <c r="B98" s="15"/>
      <c r="C98" s="15"/>
      <c r="D98" s="15"/>
      <c r="E98" s="15"/>
      <c r="F98" s="15"/>
      <c r="G98" s="15"/>
      <c r="H98" s="15"/>
      <c r="J98" s="14" t="s">
        <v>194</v>
      </c>
      <c r="K98" s="15">
        <v>2.1800000000000002</v>
      </c>
      <c r="L98" s="15">
        <v>17.170000000000002</v>
      </c>
      <c r="M98" s="15"/>
      <c r="N98" s="15"/>
      <c r="O98" s="15"/>
      <c r="P98" s="15"/>
      <c r="Q98" s="15"/>
      <c r="R98" s="106">
        <v>96</v>
      </c>
      <c r="S98" s="15"/>
      <c r="T98" s="15"/>
      <c r="U98" s="15"/>
    </row>
    <row r="99" spans="1:21">
      <c r="A99" s="15"/>
      <c r="B99" s="15"/>
      <c r="C99" s="15"/>
      <c r="D99" s="15"/>
      <c r="E99" s="15"/>
      <c r="F99" s="15"/>
      <c r="G99" s="15"/>
      <c r="H99" s="15"/>
      <c r="I99" s="4">
        <f t="shared" ref="I99" si="76">I87+1</f>
        <v>1871</v>
      </c>
      <c r="J99" s="14" t="s">
        <v>96</v>
      </c>
      <c r="K99" s="15">
        <v>2.2599999999999998</v>
      </c>
      <c r="L99" s="15">
        <v>17.79</v>
      </c>
      <c r="M99" s="15"/>
      <c r="N99" s="15"/>
      <c r="O99" s="15"/>
      <c r="P99" s="15"/>
      <c r="Q99" s="15"/>
      <c r="R99" s="106">
        <v>97</v>
      </c>
      <c r="S99" s="15"/>
      <c r="T99" s="15"/>
      <c r="U99" s="15"/>
    </row>
    <row r="100" spans="1:21">
      <c r="A100" s="15"/>
      <c r="B100" s="15"/>
      <c r="C100" s="15"/>
      <c r="D100" s="15"/>
      <c r="E100" s="15"/>
      <c r="F100" s="15"/>
      <c r="G100" s="15"/>
      <c r="H100" s="15"/>
      <c r="J100" s="14" t="s">
        <v>97</v>
      </c>
      <c r="K100" s="15">
        <v>2.2599999999999998</v>
      </c>
      <c r="L100" s="15">
        <v>17.899999999999999</v>
      </c>
      <c r="M100" s="15"/>
      <c r="N100" s="15"/>
      <c r="O100" s="15"/>
      <c r="P100" s="15"/>
      <c r="Q100" s="15"/>
      <c r="R100" s="106">
        <v>98</v>
      </c>
      <c r="S100" s="15"/>
      <c r="T100" s="15"/>
      <c r="U100" s="15"/>
    </row>
    <row r="101" spans="1:21">
      <c r="A101" s="15"/>
      <c r="B101" s="15"/>
      <c r="C101" s="15"/>
      <c r="D101" s="15"/>
      <c r="E101" s="15"/>
      <c r="F101" s="15"/>
      <c r="G101" s="15"/>
      <c r="H101" s="15"/>
      <c r="J101" s="14" t="s">
        <v>130</v>
      </c>
      <c r="K101" s="15">
        <v>2.44</v>
      </c>
      <c r="L101" s="15">
        <v>19.489999999999998</v>
      </c>
      <c r="M101" s="15"/>
      <c r="N101" s="15"/>
      <c r="O101" s="15"/>
      <c r="P101" s="15"/>
      <c r="Q101" s="15"/>
      <c r="R101" s="106">
        <v>99</v>
      </c>
      <c r="S101" s="15"/>
      <c r="T101" s="15"/>
      <c r="U101" s="15"/>
    </row>
    <row r="102" spans="1:21">
      <c r="A102" s="15"/>
      <c r="B102" s="15"/>
      <c r="C102" s="15"/>
      <c r="D102" s="15"/>
      <c r="E102" s="15"/>
      <c r="F102" s="15"/>
      <c r="G102" s="15"/>
      <c r="H102" s="15"/>
      <c r="J102" s="14" t="s">
        <v>131</v>
      </c>
      <c r="K102" s="15">
        <v>2.44</v>
      </c>
      <c r="L102" s="15">
        <v>19.489999999999998</v>
      </c>
      <c r="M102" s="15"/>
      <c r="N102" s="15"/>
      <c r="O102" s="15"/>
      <c r="P102" s="15"/>
      <c r="Q102" s="15"/>
      <c r="R102" s="106">
        <v>100</v>
      </c>
      <c r="S102" s="15"/>
      <c r="T102" s="15"/>
      <c r="U102" s="15"/>
    </row>
    <row r="103" spans="1:21">
      <c r="A103" s="15"/>
      <c r="B103" s="15"/>
      <c r="C103" s="15"/>
      <c r="D103" s="15"/>
      <c r="E103" s="15"/>
      <c r="F103" s="15"/>
      <c r="G103" s="15"/>
      <c r="H103" s="15"/>
      <c r="J103" s="14" t="s">
        <v>132</v>
      </c>
      <c r="K103" s="15">
        <v>2.44</v>
      </c>
      <c r="L103" s="15">
        <v>19.829999999999998</v>
      </c>
      <c r="M103" s="15"/>
      <c r="N103" s="15"/>
      <c r="O103" s="15"/>
      <c r="P103" s="15"/>
      <c r="Q103" s="15"/>
      <c r="R103" s="106">
        <v>101</v>
      </c>
      <c r="S103" s="15"/>
      <c r="T103" s="15"/>
      <c r="U103" s="15"/>
    </row>
    <row r="104" spans="1:21">
      <c r="A104" s="15"/>
      <c r="B104" s="15"/>
      <c r="C104" s="15"/>
      <c r="D104" s="15"/>
      <c r="E104" s="15"/>
      <c r="F104" s="15"/>
      <c r="G104" s="15"/>
      <c r="H104" s="15"/>
      <c r="J104" s="14" t="s">
        <v>133</v>
      </c>
      <c r="K104" s="15">
        <v>2.7</v>
      </c>
      <c r="L104" s="15">
        <v>19.71</v>
      </c>
      <c r="M104" s="15"/>
      <c r="N104" s="15"/>
      <c r="O104" s="15"/>
      <c r="P104" s="15"/>
      <c r="Q104" s="15"/>
      <c r="R104" s="106">
        <v>102</v>
      </c>
      <c r="S104" s="15"/>
      <c r="T104" s="15"/>
      <c r="U104" s="15"/>
    </row>
    <row r="105" spans="1:21">
      <c r="A105" s="15"/>
      <c r="B105" s="15"/>
      <c r="C105" s="15"/>
      <c r="D105" s="15"/>
      <c r="E105" s="15"/>
      <c r="F105" s="15"/>
      <c r="G105" s="15"/>
      <c r="H105" s="15"/>
      <c r="J105" s="14" t="s">
        <v>134</v>
      </c>
      <c r="K105" s="15">
        <v>2.79</v>
      </c>
      <c r="L105" s="105">
        <f>L104+(L104*(RATE(($R$106-$R$104),0,L$104,-L$106)))</f>
        <v>19.539260477305689</v>
      </c>
      <c r="M105" s="15"/>
      <c r="N105" s="15"/>
      <c r="O105" s="15"/>
      <c r="P105" s="15"/>
      <c r="Q105" s="15"/>
      <c r="R105" s="106">
        <v>103</v>
      </c>
      <c r="S105" s="15"/>
      <c r="T105" s="15"/>
      <c r="U105" s="15"/>
    </row>
    <row r="106" spans="1:21">
      <c r="A106" s="15"/>
      <c r="B106" s="15"/>
      <c r="C106" s="15"/>
      <c r="D106" s="15"/>
      <c r="E106" s="15"/>
      <c r="F106" s="15"/>
      <c r="G106" s="15"/>
      <c r="H106" s="15"/>
      <c r="J106" s="14" t="s">
        <v>135</v>
      </c>
      <c r="K106" s="15">
        <v>3.05</v>
      </c>
      <c r="L106" s="15">
        <v>19.37</v>
      </c>
      <c r="M106" s="15"/>
      <c r="N106" s="15"/>
      <c r="O106" s="15"/>
      <c r="P106" s="15"/>
      <c r="Q106" s="15"/>
      <c r="R106" s="106">
        <v>104</v>
      </c>
      <c r="S106" s="15"/>
      <c r="T106" s="15"/>
      <c r="U106" s="15"/>
    </row>
    <row r="107" spans="1:21">
      <c r="A107" s="15"/>
      <c r="B107" s="15"/>
      <c r="C107" s="15"/>
      <c r="D107" s="15"/>
      <c r="E107" s="15"/>
      <c r="F107" s="15"/>
      <c r="G107" s="15"/>
      <c r="H107" s="15"/>
      <c r="J107" s="14" t="s">
        <v>136</v>
      </c>
      <c r="K107" s="15">
        <v>3.05</v>
      </c>
      <c r="L107" s="15">
        <v>20.170000000000002</v>
      </c>
      <c r="M107" s="15"/>
      <c r="N107" s="15"/>
      <c r="O107" s="15"/>
      <c r="P107" s="15"/>
      <c r="Q107" s="15"/>
      <c r="R107" s="106">
        <v>105</v>
      </c>
      <c r="S107" s="15"/>
      <c r="T107" s="15"/>
      <c r="U107" s="15"/>
    </row>
    <row r="108" spans="1:21">
      <c r="A108" s="15"/>
      <c r="B108" s="15"/>
      <c r="C108" s="15"/>
      <c r="D108" s="15"/>
      <c r="E108" s="15"/>
      <c r="F108" s="15"/>
      <c r="G108" s="15"/>
      <c r="H108" s="15"/>
      <c r="J108" s="14" t="s">
        <v>192</v>
      </c>
      <c r="K108" s="15">
        <v>3.12</v>
      </c>
      <c r="L108" s="15">
        <v>21.64</v>
      </c>
      <c r="M108" s="15"/>
      <c r="N108" s="15"/>
      <c r="O108" s="15"/>
      <c r="P108" s="15"/>
      <c r="Q108" s="15"/>
      <c r="R108" s="106">
        <v>106</v>
      </c>
      <c r="S108" s="15"/>
      <c r="T108" s="15"/>
      <c r="U108" s="15"/>
    </row>
    <row r="109" spans="1:21">
      <c r="A109" s="15"/>
      <c r="B109" s="15"/>
      <c r="C109" s="15"/>
      <c r="D109" s="15"/>
      <c r="E109" s="15"/>
      <c r="F109" s="15"/>
      <c r="G109" s="15"/>
      <c r="H109" s="15"/>
      <c r="J109" s="14" t="s">
        <v>193</v>
      </c>
      <c r="K109" s="15">
        <v>3.12</v>
      </c>
      <c r="L109" s="15">
        <v>22.66</v>
      </c>
      <c r="M109" s="15"/>
      <c r="N109" s="15"/>
      <c r="O109" s="15"/>
      <c r="P109" s="15"/>
      <c r="Q109" s="15"/>
      <c r="R109" s="106">
        <v>107</v>
      </c>
      <c r="S109" s="15"/>
      <c r="T109" s="15"/>
      <c r="U109" s="15"/>
    </row>
    <row r="110" spans="1:21">
      <c r="A110" s="15"/>
      <c r="B110" s="15"/>
      <c r="C110" s="15"/>
      <c r="D110" s="15"/>
      <c r="E110" s="15"/>
      <c r="F110" s="15"/>
      <c r="G110" s="15"/>
      <c r="H110" s="15"/>
      <c r="J110" s="14" t="s">
        <v>194</v>
      </c>
      <c r="K110" s="15">
        <v>3.17</v>
      </c>
      <c r="L110" s="15">
        <v>22.71</v>
      </c>
      <c r="M110" s="15"/>
      <c r="N110" s="15"/>
      <c r="O110" s="15"/>
      <c r="P110" s="15"/>
      <c r="Q110" s="15"/>
      <c r="R110" s="106">
        <v>108</v>
      </c>
      <c r="S110" s="15"/>
      <c r="T110" s="15"/>
      <c r="U110" s="15"/>
    </row>
    <row r="111" spans="1:21">
      <c r="A111" s="15"/>
      <c r="B111" s="15"/>
      <c r="C111" s="15"/>
      <c r="D111" s="15"/>
      <c r="E111" s="15"/>
      <c r="F111" s="15"/>
      <c r="G111" s="15"/>
      <c r="H111" s="15"/>
      <c r="I111" s="4">
        <f t="shared" ref="I111" si="77">I99+1</f>
        <v>1872</v>
      </c>
      <c r="J111" s="14" t="s">
        <v>96</v>
      </c>
      <c r="K111" s="15">
        <v>3.33</v>
      </c>
      <c r="L111" s="15">
        <v>21.47</v>
      </c>
      <c r="M111" s="15"/>
      <c r="N111" s="15"/>
      <c r="O111" s="15"/>
      <c r="P111" s="15"/>
      <c r="Q111" s="15"/>
      <c r="R111" s="106">
        <v>109</v>
      </c>
      <c r="S111" s="15"/>
      <c r="T111" s="15"/>
      <c r="U111" s="15"/>
    </row>
    <row r="112" spans="1:21">
      <c r="A112" s="15"/>
      <c r="B112" s="15"/>
      <c r="C112" s="15"/>
      <c r="D112" s="15"/>
      <c r="E112" s="15"/>
      <c r="F112" s="15"/>
      <c r="G112" s="15"/>
      <c r="H112" s="15"/>
      <c r="J112" s="14" t="s">
        <v>97</v>
      </c>
      <c r="K112" s="15">
        <v>3.48</v>
      </c>
      <c r="L112" s="15">
        <v>21.69</v>
      </c>
      <c r="M112" s="15"/>
      <c r="N112" s="15"/>
      <c r="O112" s="15"/>
      <c r="P112" s="15"/>
      <c r="Q112" s="15"/>
      <c r="R112" s="106">
        <v>110</v>
      </c>
      <c r="S112" s="15"/>
      <c r="T112" s="15"/>
      <c r="U112" s="15"/>
    </row>
    <row r="113" spans="1:21">
      <c r="A113" s="15"/>
      <c r="B113" s="15"/>
      <c r="C113" s="15"/>
      <c r="D113" s="15"/>
      <c r="E113" s="15"/>
      <c r="F113" s="15"/>
      <c r="G113" s="15"/>
      <c r="H113" s="15"/>
      <c r="J113" s="14" t="s">
        <v>130</v>
      </c>
      <c r="K113" s="15">
        <v>4.1399999999999997</v>
      </c>
      <c r="L113" s="105">
        <f>L112+(L112*(RATE(($R$114-$R$112),0,L$112,-L$114)))</f>
        <v>22.446797098949315</v>
      </c>
      <c r="M113" s="15"/>
      <c r="N113" s="15"/>
      <c r="O113" s="15"/>
      <c r="P113" s="15"/>
      <c r="Q113" s="15"/>
      <c r="R113" s="106">
        <v>111</v>
      </c>
      <c r="S113" s="15"/>
      <c r="T113" s="15"/>
      <c r="U113" s="15"/>
    </row>
    <row r="114" spans="1:21">
      <c r="A114" s="15"/>
      <c r="B114" s="15"/>
      <c r="C114" s="15"/>
      <c r="D114" s="15"/>
      <c r="E114" s="15"/>
      <c r="F114" s="15"/>
      <c r="G114" s="15"/>
      <c r="H114" s="15"/>
      <c r="J114" s="14" t="s">
        <v>131</v>
      </c>
      <c r="K114" s="15">
        <v>3.83</v>
      </c>
      <c r="L114" s="15">
        <v>23.23</v>
      </c>
      <c r="M114" s="15"/>
      <c r="N114" s="15"/>
      <c r="O114" s="15"/>
      <c r="P114" s="15"/>
      <c r="Q114" s="15"/>
      <c r="R114" s="106">
        <v>112</v>
      </c>
      <c r="S114" s="15"/>
      <c r="T114" s="15"/>
      <c r="U114" s="15"/>
    </row>
    <row r="115" spans="1:21">
      <c r="A115" s="15"/>
      <c r="B115" s="15"/>
      <c r="C115" s="15"/>
      <c r="D115" s="15"/>
      <c r="E115" s="15"/>
      <c r="F115" s="15"/>
      <c r="G115" s="15"/>
      <c r="H115" s="15"/>
      <c r="J115" s="14" t="s">
        <v>132</v>
      </c>
      <c r="K115" s="15">
        <v>3.83</v>
      </c>
      <c r="L115" s="15">
        <v>22.32</v>
      </c>
      <c r="M115" s="15"/>
      <c r="N115" s="15"/>
      <c r="O115" s="15"/>
      <c r="P115" s="15"/>
      <c r="Q115" s="15"/>
      <c r="R115" s="106">
        <v>113</v>
      </c>
      <c r="S115" s="15"/>
      <c r="T115" s="15"/>
      <c r="U115" s="15"/>
    </row>
    <row r="116" spans="1:21">
      <c r="A116" s="15"/>
      <c r="B116" s="15"/>
      <c r="C116" s="15"/>
      <c r="D116" s="15"/>
      <c r="E116" s="15"/>
      <c r="F116" s="15"/>
      <c r="G116" s="15"/>
      <c r="H116" s="15"/>
      <c r="J116" s="14" t="s">
        <v>133</v>
      </c>
      <c r="K116" s="105">
        <f>K115+(K115*(RATE(($R$117-$R$115),0,K$115,-K$117)))</f>
        <v>3.6508081297159491</v>
      </c>
      <c r="L116" s="105">
        <f>L115+(L115*(RATE(($R$117-$R$115),0,L$115,-L$117)))</f>
        <v>22.459563664506042</v>
      </c>
      <c r="M116" s="15"/>
      <c r="N116" s="15"/>
      <c r="O116" s="15"/>
      <c r="P116" s="15"/>
      <c r="Q116" s="15"/>
      <c r="R116" s="106">
        <v>114</v>
      </c>
      <c r="S116" s="15"/>
      <c r="T116" s="15"/>
      <c r="U116" s="15"/>
    </row>
    <row r="117" spans="1:21">
      <c r="A117" s="15"/>
      <c r="B117" s="15"/>
      <c r="C117" s="15"/>
      <c r="D117" s="15"/>
      <c r="E117" s="15"/>
      <c r="F117" s="15"/>
      <c r="G117" s="15"/>
      <c r="H117" s="15"/>
      <c r="J117" s="14" t="s">
        <v>134</v>
      </c>
      <c r="K117" s="15">
        <v>3.48</v>
      </c>
      <c r="L117" s="15">
        <v>22.6</v>
      </c>
      <c r="M117" s="15"/>
      <c r="N117" s="15"/>
      <c r="O117" s="15"/>
      <c r="P117" s="15"/>
      <c r="Q117" s="15"/>
      <c r="R117" s="106">
        <v>115</v>
      </c>
      <c r="S117" s="15"/>
      <c r="T117" s="15"/>
      <c r="U117" s="15"/>
    </row>
    <row r="118" spans="1:21">
      <c r="A118" s="15"/>
      <c r="B118" s="15"/>
      <c r="C118" s="15"/>
      <c r="D118" s="15"/>
      <c r="E118" s="15"/>
      <c r="F118" s="15"/>
      <c r="G118" s="15"/>
      <c r="H118" s="15"/>
      <c r="J118" s="14" t="s">
        <v>135</v>
      </c>
      <c r="K118" s="15">
        <v>3.39</v>
      </c>
      <c r="L118" s="15">
        <v>22.94</v>
      </c>
      <c r="M118" s="15"/>
      <c r="N118" s="15"/>
      <c r="O118" s="15"/>
      <c r="P118" s="15"/>
      <c r="Q118" s="15"/>
      <c r="R118" s="106">
        <v>116</v>
      </c>
      <c r="S118" s="15"/>
      <c r="T118" s="15"/>
      <c r="U118" s="15"/>
    </row>
    <row r="119" spans="1:21">
      <c r="A119" s="15"/>
      <c r="B119" s="15"/>
      <c r="C119" s="15"/>
      <c r="D119" s="15"/>
      <c r="E119" s="15"/>
      <c r="F119" s="15"/>
      <c r="G119" s="15"/>
      <c r="H119" s="15"/>
      <c r="J119" s="14" t="s">
        <v>136</v>
      </c>
      <c r="K119" s="15">
        <v>3.39</v>
      </c>
      <c r="L119" s="15">
        <v>23.11</v>
      </c>
      <c r="M119" s="15"/>
      <c r="N119" s="15"/>
      <c r="O119" s="15"/>
      <c r="P119" s="15"/>
      <c r="Q119" s="15"/>
      <c r="R119" s="106">
        <v>117</v>
      </c>
      <c r="S119" s="15"/>
      <c r="T119" s="15"/>
      <c r="U119" s="15"/>
    </row>
    <row r="120" spans="1:21">
      <c r="A120" s="15"/>
      <c r="B120" s="15"/>
      <c r="C120" s="15"/>
      <c r="D120" s="15"/>
      <c r="E120" s="15"/>
      <c r="F120" s="15"/>
      <c r="G120" s="15"/>
      <c r="H120" s="15"/>
      <c r="J120" s="14" t="s">
        <v>192</v>
      </c>
      <c r="K120" s="15">
        <v>3.66</v>
      </c>
      <c r="L120" s="15">
        <v>23.45</v>
      </c>
      <c r="M120" s="15"/>
      <c r="N120" s="15"/>
      <c r="O120" s="15"/>
      <c r="P120" s="15"/>
      <c r="Q120" s="15"/>
      <c r="R120" s="106">
        <v>118</v>
      </c>
      <c r="S120" s="15"/>
      <c r="T120" s="15"/>
      <c r="U120" s="15"/>
    </row>
    <row r="121" spans="1:21">
      <c r="A121" s="15"/>
      <c r="B121" s="15"/>
      <c r="C121" s="15"/>
      <c r="D121" s="15"/>
      <c r="E121" s="15"/>
      <c r="F121" s="15"/>
      <c r="G121" s="15"/>
      <c r="H121" s="15"/>
      <c r="J121" s="14" t="s">
        <v>193</v>
      </c>
      <c r="K121" s="15">
        <v>3.48</v>
      </c>
      <c r="L121" s="15">
        <v>24.47</v>
      </c>
      <c r="M121" s="15"/>
      <c r="N121" s="15"/>
      <c r="O121" s="15"/>
      <c r="P121" s="15"/>
      <c r="Q121" s="15"/>
      <c r="R121" s="106">
        <v>119</v>
      </c>
      <c r="S121" s="15"/>
      <c r="T121" s="15"/>
      <c r="U121" s="15"/>
    </row>
    <row r="122" spans="1:21">
      <c r="A122" s="15"/>
      <c r="B122" s="15"/>
      <c r="C122" s="15"/>
      <c r="D122" s="15"/>
      <c r="E122" s="15"/>
      <c r="F122" s="15"/>
      <c r="G122" s="15"/>
      <c r="H122" s="15"/>
      <c r="J122" s="14" t="s">
        <v>194</v>
      </c>
      <c r="K122" s="15">
        <v>3.2</v>
      </c>
      <c r="L122" s="15">
        <v>25.319999999999997</v>
      </c>
      <c r="M122" s="15"/>
      <c r="N122" s="15"/>
      <c r="O122" s="15"/>
      <c r="P122" s="15"/>
      <c r="Q122" s="15"/>
      <c r="R122" s="106">
        <v>120</v>
      </c>
      <c r="S122" s="15"/>
      <c r="T122" s="15"/>
      <c r="U122" s="15"/>
    </row>
    <row r="123" spans="1:21">
      <c r="A123" s="15"/>
      <c r="B123" s="15"/>
      <c r="C123" s="15"/>
      <c r="D123" s="15"/>
      <c r="E123" s="15"/>
      <c r="F123" s="15"/>
      <c r="G123" s="15"/>
      <c r="H123" s="15"/>
      <c r="I123" s="4">
        <f t="shared" ref="I123" si="78">I111+1</f>
        <v>1873</v>
      </c>
      <c r="J123" s="14" t="s">
        <v>96</v>
      </c>
      <c r="K123" s="15">
        <v>3.38</v>
      </c>
      <c r="L123" s="15">
        <v>25.15</v>
      </c>
      <c r="M123" s="15"/>
      <c r="N123" s="15"/>
      <c r="O123" s="15"/>
      <c r="P123" s="15"/>
      <c r="Q123" s="15"/>
      <c r="R123" s="106">
        <v>121</v>
      </c>
      <c r="S123" s="15"/>
      <c r="T123" s="15"/>
      <c r="U123" s="15"/>
    </row>
    <row r="124" spans="1:21">
      <c r="A124" s="15"/>
      <c r="B124" s="15"/>
      <c r="C124" s="15"/>
      <c r="D124" s="15"/>
      <c r="E124" s="15"/>
      <c r="F124" s="15"/>
      <c r="G124" s="15"/>
      <c r="H124" s="15"/>
      <c r="J124" s="14" t="s">
        <v>97</v>
      </c>
      <c r="K124" s="15">
        <v>3.39</v>
      </c>
      <c r="L124" s="15">
        <v>25.66</v>
      </c>
      <c r="M124" s="15"/>
      <c r="N124" s="15"/>
      <c r="O124" s="15"/>
      <c r="P124" s="15"/>
      <c r="Q124" s="15"/>
      <c r="R124" s="106">
        <v>122</v>
      </c>
      <c r="S124" s="15"/>
      <c r="T124" s="15"/>
      <c r="U124" s="15"/>
    </row>
    <row r="125" spans="1:21">
      <c r="A125" s="15"/>
      <c r="B125" s="15"/>
      <c r="C125" s="15"/>
      <c r="D125" s="15"/>
      <c r="E125" s="15"/>
      <c r="F125" s="15"/>
      <c r="G125" s="15"/>
      <c r="H125" s="15"/>
      <c r="J125" s="14" t="s">
        <v>130</v>
      </c>
      <c r="K125" s="15">
        <v>3.13</v>
      </c>
      <c r="L125" s="15">
        <v>27.250000000000004</v>
      </c>
      <c r="M125" s="15"/>
      <c r="N125" s="15"/>
      <c r="O125" s="15"/>
      <c r="P125" s="15"/>
      <c r="Q125" s="15"/>
      <c r="R125" s="106">
        <v>123</v>
      </c>
      <c r="S125" s="15"/>
      <c r="T125" s="15"/>
      <c r="U125" s="15"/>
    </row>
    <row r="126" spans="1:21">
      <c r="A126" s="15"/>
      <c r="B126" s="15"/>
      <c r="C126" s="15"/>
      <c r="D126" s="15"/>
      <c r="E126" s="15"/>
      <c r="F126" s="15"/>
      <c r="G126" s="15"/>
      <c r="H126" s="15"/>
      <c r="J126" s="14" t="s">
        <v>131</v>
      </c>
      <c r="K126" s="15">
        <v>2.81</v>
      </c>
      <c r="L126" s="15">
        <v>27.76</v>
      </c>
      <c r="M126" s="15"/>
      <c r="N126" s="15"/>
      <c r="O126" s="15"/>
      <c r="P126" s="15"/>
      <c r="Q126" s="15"/>
      <c r="R126" s="106">
        <v>124</v>
      </c>
      <c r="S126" s="15"/>
      <c r="T126" s="15"/>
      <c r="U126" s="15"/>
    </row>
    <row r="127" spans="1:21">
      <c r="A127" s="15"/>
      <c r="B127" s="15"/>
      <c r="C127" s="15"/>
      <c r="D127" s="15"/>
      <c r="E127" s="15"/>
      <c r="F127" s="15"/>
      <c r="G127" s="15"/>
      <c r="H127" s="15"/>
      <c r="J127" s="14" t="s">
        <v>132</v>
      </c>
      <c r="K127" s="15">
        <v>2.7</v>
      </c>
      <c r="L127" s="15">
        <v>27.02</v>
      </c>
      <c r="M127" s="15"/>
      <c r="N127" s="15"/>
      <c r="O127" s="15"/>
      <c r="P127" s="15"/>
      <c r="Q127" s="15"/>
      <c r="R127" s="106">
        <v>125</v>
      </c>
      <c r="S127" s="15"/>
      <c r="T127" s="15"/>
      <c r="U127" s="15"/>
    </row>
    <row r="128" spans="1:21">
      <c r="A128" s="15"/>
      <c r="B128" s="15"/>
      <c r="C128" s="15"/>
      <c r="D128" s="15"/>
      <c r="E128" s="15"/>
      <c r="F128" s="15"/>
      <c r="G128" s="15"/>
      <c r="H128" s="15"/>
      <c r="J128" s="14" t="s">
        <v>133</v>
      </c>
      <c r="K128" s="15">
        <v>2.52</v>
      </c>
      <c r="L128" s="15">
        <v>26.11</v>
      </c>
      <c r="M128" s="15"/>
      <c r="N128" s="15"/>
      <c r="O128" s="15"/>
      <c r="P128" s="15"/>
      <c r="Q128" s="15"/>
      <c r="R128" s="106">
        <v>126</v>
      </c>
      <c r="S128" s="15"/>
      <c r="T128" s="15"/>
      <c r="U128" s="15"/>
    </row>
    <row r="129" spans="1:21">
      <c r="A129" s="15"/>
      <c r="B129" s="15"/>
      <c r="C129" s="15"/>
      <c r="D129" s="15"/>
      <c r="E129" s="15"/>
      <c r="F129" s="15"/>
      <c r="G129" s="15"/>
      <c r="H129" s="15"/>
      <c r="J129" s="14" t="s">
        <v>134</v>
      </c>
      <c r="K129" s="15">
        <v>2.7</v>
      </c>
      <c r="L129" s="15">
        <v>24.47</v>
      </c>
      <c r="M129" s="15"/>
      <c r="N129" s="15"/>
      <c r="O129" s="15"/>
      <c r="P129" s="15"/>
      <c r="Q129" s="15"/>
      <c r="R129" s="106">
        <v>127</v>
      </c>
      <c r="S129" s="15"/>
      <c r="T129" s="15"/>
      <c r="U129" s="15"/>
    </row>
    <row r="130" spans="1:21">
      <c r="A130" s="15"/>
      <c r="B130" s="15"/>
      <c r="C130" s="15"/>
      <c r="D130" s="15"/>
      <c r="E130" s="15"/>
      <c r="F130" s="15"/>
      <c r="G130" s="15"/>
      <c r="H130" s="15"/>
      <c r="J130" s="14" t="s">
        <v>135</v>
      </c>
      <c r="K130" s="15">
        <v>2.87</v>
      </c>
      <c r="L130" s="15">
        <v>24.7</v>
      </c>
      <c r="M130" s="15"/>
      <c r="N130" s="15"/>
      <c r="O130" s="15"/>
      <c r="P130" s="15"/>
      <c r="Q130" s="15"/>
      <c r="R130" s="106">
        <v>128</v>
      </c>
      <c r="S130" s="15"/>
      <c r="T130" s="15"/>
      <c r="U130" s="15"/>
    </row>
    <row r="131" spans="1:21">
      <c r="A131" s="15"/>
      <c r="B131" s="15"/>
      <c r="C131" s="15"/>
      <c r="D131" s="15"/>
      <c r="E131" s="15"/>
      <c r="F131" s="15"/>
      <c r="G131" s="15"/>
      <c r="H131" s="15"/>
      <c r="J131" s="14" t="s">
        <v>136</v>
      </c>
      <c r="K131" s="15">
        <v>3.13</v>
      </c>
      <c r="L131" s="15">
        <v>24.7</v>
      </c>
      <c r="M131" s="15"/>
      <c r="N131" s="15"/>
      <c r="O131" s="15"/>
      <c r="P131" s="15"/>
      <c r="Q131" s="15"/>
      <c r="R131" s="106">
        <v>129</v>
      </c>
      <c r="S131" s="15"/>
      <c r="T131" s="15"/>
      <c r="U131" s="15"/>
    </row>
    <row r="132" spans="1:21">
      <c r="A132" s="15"/>
      <c r="B132" s="15"/>
      <c r="C132" s="15"/>
      <c r="D132" s="15"/>
      <c r="E132" s="15"/>
      <c r="F132" s="15"/>
      <c r="G132" s="15"/>
      <c r="H132" s="15"/>
      <c r="J132" s="14" t="s">
        <v>192</v>
      </c>
      <c r="K132" s="15">
        <v>3.06</v>
      </c>
      <c r="L132" s="15">
        <v>24.7</v>
      </c>
      <c r="M132" s="15"/>
      <c r="N132" s="15"/>
      <c r="O132" s="15"/>
      <c r="P132" s="15"/>
      <c r="Q132" s="15"/>
      <c r="R132" s="106">
        <v>130</v>
      </c>
      <c r="S132" s="15"/>
      <c r="T132" s="15"/>
      <c r="U132" s="15"/>
    </row>
    <row r="133" spans="1:21">
      <c r="A133" s="15"/>
      <c r="B133" s="15"/>
      <c r="C133" s="15"/>
      <c r="D133" s="15"/>
      <c r="E133" s="15"/>
      <c r="F133" s="15"/>
      <c r="G133" s="15"/>
      <c r="H133" s="15"/>
      <c r="J133" s="14" t="s">
        <v>193</v>
      </c>
      <c r="K133" s="15">
        <v>3.17</v>
      </c>
      <c r="L133" s="105">
        <f>L132+(L132*(RATE(($R$134-$R$132),0,L$132,-L$134)))</f>
        <v>23.715374759847279</v>
      </c>
      <c r="M133" s="15"/>
      <c r="N133" s="15"/>
      <c r="O133" s="15"/>
      <c r="P133" s="15"/>
      <c r="Q133" s="15"/>
      <c r="R133" s="106">
        <v>131</v>
      </c>
      <c r="S133" s="15"/>
      <c r="T133" s="15"/>
      <c r="U133" s="15"/>
    </row>
    <row r="134" spans="1:21">
      <c r="A134" s="15"/>
      <c r="B134" s="15"/>
      <c r="C134" s="15"/>
      <c r="D134" s="15"/>
      <c r="E134" s="15"/>
      <c r="F134" s="15"/>
      <c r="G134" s="15"/>
      <c r="H134" s="15"/>
      <c r="J134" s="14" t="s">
        <v>194</v>
      </c>
      <c r="K134" s="15">
        <v>3.15</v>
      </c>
      <c r="L134" s="15">
        <v>22.77</v>
      </c>
      <c r="M134" s="15"/>
      <c r="N134" s="15"/>
      <c r="O134" s="15"/>
      <c r="P134" s="15"/>
      <c r="Q134" s="15"/>
      <c r="R134" s="106">
        <v>132</v>
      </c>
      <c r="S134" s="15"/>
      <c r="T134" s="15"/>
      <c r="U134" s="15"/>
    </row>
    <row r="135" spans="1:21">
      <c r="A135" s="15"/>
      <c r="B135" s="15"/>
      <c r="C135" s="15"/>
      <c r="D135" s="15"/>
      <c r="E135" s="15"/>
      <c r="F135" s="15"/>
      <c r="G135" s="15"/>
      <c r="H135" s="15"/>
      <c r="I135" s="4">
        <f t="shared" ref="I135" si="79">I123+1</f>
        <v>1874</v>
      </c>
      <c r="J135" s="14" t="s">
        <v>96</v>
      </c>
      <c r="K135" s="15">
        <v>3.15</v>
      </c>
      <c r="L135" s="15">
        <v>22.89</v>
      </c>
      <c r="M135" s="15"/>
      <c r="N135" s="15"/>
      <c r="O135" s="15"/>
      <c r="P135" s="15"/>
      <c r="Q135" s="15"/>
      <c r="R135" s="106">
        <v>133</v>
      </c>
      <c r="S135" s="15"/>
      <c r="T135" s="15"/>
      <c r="U135" s="15"/>
    </row>
    <row r="136" spans="1:21">
      <c r="A136" s="15"/>
      <c r="B136" s="15"/>
      <c r="C136" s="15"/>
      <c r="D136" s="15"/>
      <c r="E136" s="15"/>
      <c r="F136" s="15"/>
      <c r="G136" s="15"/>
      <c r="H136" s="15"/>
      <c r="J136" s="14" t="s">
        <v>97</v>
      </c>
      <c r="K136" s="15">
        <v>3.13</v>
      </c>
      <c r="L136" s="15">
        <v>23.29</v>
      </c>
      <c r="M136" s="15"/>
      <c r="N136" s="15"/>
      <c r="O136" s="15"/>
      <c r="P136" s="15"/>
      <c r="Q136" s="15"/>
      <c r="R136" s="106">
        <v>134</v>
      </c>
      <c r="S136" s="15"/>
      <c r="T136" s="15"/>
      <c r="U136" s="15"/>
    </row>
    <row r="137" spans="1:21">
      <c r="A137" s="15"/>
      <c r="B137" s="15"/>
      <c r="C137" s="15"/>
      <c r="D137" s="15"/>
      <c r="E137" s="15"/>
      <c r="F137" s="15"/>
      <c r="G137" s="15"/>
      <c r="H137" s="15"/>
      <c r="J137" s="14" t="s">
        <v>130</v>
      </c>
      <c r="K137" s="15">
        <v>3.05</v>
      </c>
      <c r="L137" s="15">
        <v>24.87</v>
      </c>
      <c r="M137" s="15"/>
      <c r="N137" s="15"/>
      <c r="O137" s="15"/>
      <c r="P137" s="15"/>
      <c r="Q137" s="15"/>
      <c r="R137" s="106">
        <v>135</v>
      </c>
      <c r="S137" s="15"/>
      <c r="T137" s="15"/>
      <c r="U137" s="15"/>
    </row>
    <row r="138" spans="1:21">
      <c r="A138" s="15"/>
      <c r="B138" s="15"/>
      <c r="C138" s="15"/>
      <c r="D138" s="15"/>
      <c r="E138" s="15"/>
      <c r="F138" s="15"/>
      <c r="G138" s="15"/>
      <c r="H138" s="15"/>
      <c r="J138" s="14" t="s">
        <v>131</v>
      </c>
      <c r="K138" s="15">
        <v>3.22</v>
      </c>
      <c r="L138" s="15">
        <v>25.379999999999995</v>
      </c>
      <c r="M138" s="15"/>
      <c r="N138" s="15"/>
      <c r="O138" s="15"/>
      <c r="P138" s="15"/>
      <c r="Q138" s="15"/>
      <c r="R138" s="106">
        <v>136</v>
      </c>
      <c r="S138" s="15"/>
      <c r="T138" s="15"/>
      <c r="U138" s="15"/>
    </row>
    <row r="139" spans="1:21">
      <c r="A139" s="15"/>
      <c r="B139" s="15"/>
      <c r="C139" s="15"/>
      <c r="D139" s="15"/>
      <c r="E139" s="15"/>
      <c r="F139" s="15"/>
      <c r="G139" s="15"/>
      <c r="H139" s="15"/>
      <c r="J139" s="14" t="s">
        <v>132</v>
      </c>
      <c r="K139" s="15">
        <v>3.4</v>
      </c>
      <c r="L139" s="15">
        <v>24.42</v>
      </c>
      <c r="M139" s="15"/>
      <c r="N139" s="15"/>
      <c r="O139" s="15"/>
      <c r="P139" s="15"/>
      <c r="Q139" s="15"/>
      <c r="R139" s="106">
        <v>137</v>
      </c>
      <c r="S139" s="15"/>
      <c r="T139" s="15"/>
      <c r="U139" s="15"/>
    </row>
    <row r="140" spans="1:21">
      <c r="A140" s="15"/>
      <c r="B140" s="15"/>
      <c r="C140" s="15"/>
      <c r="D140" s="15"/>
      <c r="E140" s="15"/>
      <c r="F140" s="15"/>
      <c r="G140" s="15"/>
      <c r="H140" s="15"/>
      <c r="J140" s="14" t="s">
        <v>133</v>
      </c>
      <c r="K140" s="15">
        <v>3.22</v>
      </c>
      <c r="L140" s="15">
        <v>24.53</v>
      </c>
      <c r="M140" s="15"/>
      <c r="N140" s="15"/>
      <c r="O140" s="15"/>
      <c r="P140" s="15"/>
      <c r="Q140" s="15"/>
      <c r="R140" s="106">
        <v>138</v>
      </c>
      <c r="S140" s="15"/>
      <c r="T140" s="15"/>
      <c r="U140" s="15"/>
    </row>
    <row r="141" spans="1:21">
      <c r="A141" s="15"/>
      <c r="B141" s="15"/>
      <c r="C141" s="15"/>
      <c r="D141" s="15"/>
      <c r="E141" s="15"/>
      <c r="F141" s="15"/>
      <c r="G141" s="15"/>
      <c r="H141" s="15"/>
      <c r="J141" s="14" t="s">
        <v>134</v>
      </c>
      <c r="K141" s="15">
        <v>3.22</v>
      </c>
      <c r="L141" s="15">
        <v>25.27</v>
      </c>
      <c r="M141" s="15"/>
      <c r="N141" s="15"/>
      <c r="O141" s="15"/>
      <c r="P141" s="15"/>
      <c r="Q141" s="15"/>
      <c r="R141" s="106">
        <v>139</v>
      </c>
      <c r="S141" s="15"/>
      <c r="T141" s="15"/>
      <c r="U141" s="15"/>
    </row>
    <row r="142" spans="1:21">
      <c r="A142" s="15"/>
      <c r="B142" s="15"/>
      <c r="C142" s="15"/>
      <c r="D142" s="15"/>
      <c r="E142" s="15"/>
      <c r="F142" s="15"/>
      <c r="G142" s="15"/>
      <c r="H142" s="15"/>
      <c r="J142" s="14" t="s">
        <v>135</v>
      </c>
      <c r="K142" s="15">
        <v>3.22</v>
      </c>
      <c r="L142" s="105">
        <f>L141+(L141*(RATE(($R$146-$R$141),0,L$141,-L$146)))</f>
        <v>25.717842578486536</v>
      </c>
      <c r="M142" s="15"/>
      <c r="N142" s="15"/>
      <c r="O142" s="15"/>
      <c r="P142" s="15"/>
      <c r="Q142" s="15"/>
      <c r="R142" s="106">
        <v>140</v>
      </c>
      <c r="S142" s="15"/>
      <c r="T142" s="15"/>
      <c r="U142" s="15"/>
    </row>
    <row r="143" spans="1:21">
      <c r="A143" s="15"/>
      <c r="B143" s="15"/>
      <c r="C143" s="15"/>
      <c r="D143" s="15"/>
      <c r="E143" s="15"/>
      <c r="F143" s="15"/>
      <c r="G143" s="15"/>
      <c r="H143" s="15"/>
      <c r="J143" s="14" t="s">
        <v>136</v>
      </c>
      <c r="K143" s="15">
        <v>3.22</v>
      </c>
      <c r="L143" s="105">
        <f>L142+(L142*(RATE(($R$146-$R$141),0,L$141,-L$146)))</f>
        <v>26.173621958520577</v>
      </c>
      <c r="M143" s="15"/>
      <c r="N143" s="15"/>
      <c r="O143" s="15"/>
      <c r="P143" s="15"/>
      <c r="Q143" s="15"/>
      <c r="R143" s="106">
        <v>141</v>
      </c>
      <c r="S143" s="15"/>
      <c r="T143" s="15"/>
      <c r="U143" s="15"/>
    </row>
    <row r="144" spans="1:21">
      <c r="A144" s="15"/>
      <c r="B144" s="15"/>
      <c r="C144" s="15"/>
      <c r="D144" s="15"/>
      <c r="E144" s="15"/>
      <c r="F144" s="15"/>
      <c r="G144" s="15"/>
      <c r="H144" s="15"/>
      <c r="J144" s="14" t="s">
        <v>192</v>
      </c>
      <c r="K144" s="15">
        <v>3.23</v>
      </c>
      <c r="L144" s="105">
        <f>L143+(L143*(RATE(($R$146-$R$141),0,L$141,-L$146)))</f>
        <v>26.637478798498243</v>
      </c>
      <c r="M144" s="15"/>
      <c r="N144" s="15"/>
      <c r="O144" s="15"/>
      <c r="P144" s="15"/>
      <c r="Q144" s="15"/>
      <c r="R144" s="106">
        <v>142</v>
      </c>
      <c r="S144" s="15"/>
      <c r="T144" s="15"/>
      <c r="U144" s="15"/>
    </row>
    <row r="145" spans="1:21">
      <c r="A145" s="15"/>
      <c r="B145" s="15"/>
      <c r="C145" s="15"/>
      <c r="D145" s="15"/>
      <c r="E145" s="15"/>
      <c r="F145" s="15"/>
      <c r="G145" s="15"/>
      <c r="H145" s="15"/>
      <c r="J145" s="14" t="s">
        <v>193</v>
      </c>
      <c r="K145" s="15">
        <v>3.48</v>
      </c>
      <c r="L145" s="105">
        <f>L144+(L144*(RATE(($R$146-$R$141),0,L$141,-L$146)))</f>
        <v>27.109556249606271</v>
      </c>
      <c r="M145" s="15"/>
      <c r="N145" s="15"/>
      <c r="O145" s="15"/>
      <c r="P145" s="15"/>
      <c r="Q145" s="15"/>
      <c r="R145" s="106">
        <v>143</v>
      </c>
      <c r="S145" s="15"/>
      <c r="T145" s="15"/>
      <c r="U145" s="15"/>
    </row>
    <row r="146" spans="1:21">
      <c r="A146" s="15"/>
      <c r="B146" s="15"/>
      <c r="C146" s="15"/>
      <c r="D146" s="15"/>
      <c r="E146" s="15"/>
      <c r="F146" s="15"/>
      <c r="G146" s="15"/>
      <c r="H146" s="15"/>
      <c r="J146" s="14" t="s">
        <v>194</v>
      </c>
      <c r="K146" s="15">
        <v>3.22</v>
      </c>
      <c r="L146" s="15">
        <v>27.589999999999996</v>
      </c>
      <c r="M146" s="15"/>
      <c r="N146" s="15"/>
      <c r="O146" s="15"/>
      <c r="P146" s="15"/>
      <c r="Q146" s="15"/>
      <c r="R146" s="106">
        <v>144</v>
      </c>
      <c r="S146" s="15"/>
      <c r="T146" s="15"/>
      <c r="U146" s="15"/>
    </row>
    <row r="147" spans="1:21">
      <c r="A147" s="15"/>
      <c r="B147" s="15"/>
      <c r="C147" s="15"/>
      <c r="D147" s="15"/>
      <c r="E147" s="15"/>
      <c r="F147" s="15"/>
      <c r="G147" s="15"/>
      <c r="H147" s="15"/>
      <c r="I147" s="4">
        <f t="shared" ref="I147" si="80">I135+1</f>
        <v>1875</v>
      </c>
      <c r="J147" s="14" t="s">
        <v>96</v>
      </c>
      <c r="K147" s="15">
        <v>3.22</v>
      </c>
      <c r="L147" s="15">
        <v>26.06</v>
      </c>
      <c r="M147" s="15"/>
      <c r="N147" s="15"/>
      <c r="O147" s="15"/>
      <c r="P147" s="15"/>
      <c r="Q147" s="15"/>
      <c r="R147" s="106">
        <v>145</v>
      </c>
      <c r="S147" s="15"/>
      <c r="T147" s="15"/>
      <c r="U147" s="15"/>
    </row>
    <row r="148" spans="1:21">
      <c r="A148" s="15"/>
      <c r="B148" s="15"/>
      <c r="C148" s="15"/>
      <c r="D148" s="15"/>
      <c r="E148" s="15"/>
      <c r="F148" s="15"/>
      <c r="G148" s="15"/>
      <c r="H148" s="15"/>
      <c r="J148" s="14" t="s">
        <v>97</v>
      </c>
      <c r="K148" s="15">
        <v>3.22</v>
      </c>
      <c r="L148" s="15">
        <v>26.21</v>
      </c>
      <c r="M148" s="15"/>
      <c r="N148" s="15"/>
      <c r="O148" s="15"/>
      <c r="P148" s="15"/>
      <c r="Q148" s="15"/>
      <c r="R148" s="106">
        <v>146</v>
      </c>
      <c r="S148" s="15"/>
      <c r="T148" s="15"/>
      <c r="U148" s="15"/>
    </row>
    <row r="149" spans="1:21">
      <c r="A149" s="15"/>
      <c r="B149" s="15"/>
      <c r="C149" s="15"/>
      <c r="D149" s="15"/>
      <c r="E149" s="15"/>
      <c r="F149" s="15"/>
      <c r="G149" s="15"/>
      <c r="H149" s="15"/>
      <c r="J149" s="14" t="s">
        <v>130</v>
      </c>
      <c r="K149" s="15">
        <v>3.31</v>
      </c>
      <c r="L149" s="15">
        <v>25.27</v>
      </c>
      <c r="M149" s="15"/>
      <c r="N149" s="15"/>
      <c r="O149" s="15"/>
      <c r="P149" s="15"/>
      <c r="Q149" s="15"/>
      <c r="R149" s="106">
        <v>147</v>
      </c>
      <c r="S149" s="15"/>
      <c r="T149" s="15"/>
      <c r="U149" s="15"/>
    </row>
    <row r="150" spans="1:21">
      <c r="A150" s="15"/>
      <c r="B150" s="15"/>
      <c r="C150" s="15"/>
      <c r="D150" s="15"/>
      <c r="E150" s="15"/>
      <c r="F150" s="15"/>
      <c r="G150" s="15"/>
      <c r="H150" s="15"/>
      <c r="J150" s="14" t="s">
        <v>131</v>
      </c>
      <c r="K150" s="15">
        <v>3.35</v>
      </c>
      <c r="L150" s="15">
        <v>24.47</v>
      </c>
      <c r="M150" s="15"/>
      <c r="N150" s="15"/>
      <c r="O150" s="15"/>
      <c r="P150" s="15"/>
      <c r="Q150" s="15"/>
      <c r="R150" s="106">
        <v>148</v>
      </c>
      <c r="S150" s="15"/>
      <c r="T150" s="15"/>
      <c r="U150" s="15"/>
    </row>
    <row r="151" spans="1:21">
      <c r="A151" s="15"/>
      <c r="B151" s="15"/>
      <c r="C151" s="15"/>
      <c r="D151" s="15"/>
      <c r="E151" s="15"/>
      <c r="F151" s="15"/>
      <c r="G151" s="15"/>
      <c r="H151" s="15"/>
      <c r="J151" s="14" t="s">
        <v>132</v>
      </c>
      <c r="K151" s="15">
        <v>3.53</v>
      </c>
      <c r="L151" s="15">
        <v>24.36</v>
      </c>
      <c r="M151" s="15"/>
      <c r="N151" s="15"/>
      <c r="O151" s="15"/>
      <c r="P151" s="15"/>
      <c r="Q151" s="15"/>
      <c r="R151" s="106">
        <v>149</v>
      </c>
      <c r="S151" s="15"/>
      <c r="T151" s="15"/>
      <c r="U151" s="15"/>
    </row>
    <row r="152" spans="1:21">
      <c r="A152" s="15"/>
      <c r="B152" s="15"/>
      <c r="C152" s="15"/>
      <c r="D152" s="15"/>
      <c r="E152" s="15"/>
      <c r="F152" s="15"/>
      <c r="G152" s="15"/>
      <c r="H152" s="15"/>
      <c r="J152" s="14" t="s">
        <v>133</v>
      </c>
      <c r="K152" s="15">
        <v>3.66</v>
      </c>
      <c r="L152" s="15">
        <v>24.36</v>
      </c>
      <c r="M152" s="15"/>
      <c r="N152" s="15"/>
      <c r="O152" s="15"/>
      <c r="P152" s="15"/>
      <c r="Q152" s="15"/>
      <c r="R152" s="106">
        <v>150</v>
      </c>
      <c r="S152" s="15"/>
      <c r="T152" s="15"/>
      <c r="U152" s="15"/>
    </row>
    <row r="153" spans="1:21">
      <c r="A153" s="15"/>
      <c r="B153" s="15"/>
      <c r="C153" s="15"/>
      <c r="D153" s="15"/>
      <c r="E153" s="15"/>
      <c r="F153" s="15"/>
      <c r="G153" s="15"/>
      <c r="H153" s="15"/>
      <c r="J153" s="14" t="s">
        <v>134</v>
      </c>
      <c r="K153" s="15">
        <v>3.66</v>
      </c>
      <c r="L153" s="15">
        <v>24.36</v>
      </c>
      <c r="M153" s="15"/>
      <c r="N153" s="15"/>
      <c r="O153" s="15"/>
      <c r="P153" s="15"/>
      <c r="Q153" s="15"/>
      <c r="R153" s="106">
        <v>151</v>
      </c>
      <c r="S153" s="15"/>
      <c r="T153" s="15"/>
      <c r="U153" s="15"/>
    </row>
    <row r="154" spans="1:21">
      <c r="A154" s="15"/>
      <c r="B154" s="15"/>
      <c r="C154" s="15"/>
      <c r="D154" s="15"/>
      <c r="E154" s="15"/>
      <c r="F154" s="15"/>
      <c r="G154" s="15"/>
      <c r="H154" s="15"/>
      <c r="J154" s="14" t="s">
        <v>135</v>
      </c>
      <c r="K154" s="15">
        <v>3.31</v>
      </c>
      <c r="L154" s="15">
        <v>24.36</v>
      </c>
      <c r="M154" s="15"/>
      <c r="N154" s="15"/>
      <c r="O154" s="15"/>
      <c r="P154" s="15"/>
      <c r="Q154" s="15"/>
      <c r="R154" s="106">
        <v>152</v>
      </c>
      <c r="S154" s="15"/>
      <c r="T154" s="15"/>
      <c r="U154" s="15"/>
    </row>
    <row r="155" spans="1:21">
      <c r="A155" s="15"/>
      <c r="B155" s="15"/>
      <c r="C155" s="15"/>
      <c r="D155" s="15"/>
      <c r="E155" s="15"/>
      <c r="F155" s="15"/>
      <c r="G155" s="15"/>
      <c r="H155" s="15"/>
      <c r="J155" s="14" t="s">
        <v>136</v>
      </c>
      <c r="K155" s="105">
        <f>K154+(K154*(RATE(($R$156-$R$154),0,K$154,-K$156)))</f>
        <v>3.2187419902812975</v>
      </c>
      <c r="L155" s="15">
        <v>24.36</v>
      </c>
      <c r="M155" s="15"/>
      <c r="N155" s="15"/>
      <c r="O155" s="15"/>
      <c r="P155" s="15"/>
      <c r="Q155" s="15"/>
      <c r="R155" s="106">
        <v>153</v>
      </c>
      <c r="S155" s="15"/>
      <c r="T155" s="15"/>
      <c r="U155" s="15"/>
    </row>
    <row r="156" spans="1:21">
      <c r="A156" s="15"/>
      <c r="B156" s="15"/>
      <c r="C156" s="15"/>
      <c r="D156" s="15"/>
      <c r="E156" s="15"/>
      <c r="F156" s="15"/>
      <c r="G156" s="15"/>
      <c r="H156" s="15"/>
      <c r="J156" s="14" t="s">
        <v>192</v>
      </c>
      <c r="K156" s="15">
        <v>3.13</v>
      </c>
      <c r="L156" s="15">
        <v>24.36</v>
      </c>
      <c r="M156" s="15"/>
      <c r="N156" s="15"/>
      <c r="O156" s="15"/>
      <c r="P156" s="15"/>
      <c r="Q156" s="15"/>
      <c r="R156" s="106">
        <v>154</v>
      </c>
      <c r="S156" s="15"/>
      <c r="T156" s="15"/>
      <c r="U156" s="15"/>
    </row>
    <row r="157" spans="1:21">
      <c r="A157" s="15"/>
      <c r="B157" s="15"/>
      <c r="C157" s="15"/>
      <c r="D157" s="15"/>
      <c r="E157" s="15"/>
      <c r="F157" s="15"/>
      <c r="G157" s="15"/>
      <c r="H157" s="15"/>
      <c r="J157" s="14" t="s">
        <v>193</v>
      </c>
      <c r="K157" s="15">
        <v>3</v>
      </c>
      <c r="L157" s="15">
        <v>23.79</v>
      </c>
      <c r="M157" s="15"/>
      <c r="N157" s="15"/>
      <c r="O157" s="15"/>
      <c r="P157" s="15"/>
      <c r="Q157" s="15"/>
      <c r="R157" s="106">
        <v>155</v>
      </c>
      <c r="S157" s="15"/>
      <c r="T157" s="15"/>
      <c r="U157" s="15"/>
    </row>
    <row r="158" spans="1:21">
      <c r="A158" s="15"/>
      <c r="B158" s="15"/>
      <c r="C158" s="15"/>
      <c r="D158" s="15"/>
      <c r="E158" s="15"/>
      <c r="F158" s="15"/>
      <c r="G158" s="15"/>
      <c r="H158" s="15"/>
      <c r="J158" s="14" t="s">
        <v>194</v>
      </c>
      <c r="K158" s="15">
        <v>3.05</v>
      </c>
      <c r="L158" s="15">
        <v>23.23</v>
      </c>
      <c r="M158" s="15"/>
      <c r="N158" s="15"/>
      <c r="O158" s="15"/>
      <c r="P158" s="15"/>
      <c r="Q158" s="15"/>
      <c r="R158" s="106">
        <v>156</v>
      </c>
      <c r="S158" s="15"/>
      <c r="T158" s="15"/>
      <c r="U158" s="15"/>
    </row>
    <row r="159" spans="1:21">
      <c r="A159" s="15"/>
      <c r="B159" s="15"/>
      <c r="C159" s="15"/>
      <c r="D159" s="15"/>
      <c r="E159" s="15"/>
      <c r="F159" s="15"/>
      <c r="G159" s="15"/>
      <c r="H159" s="15"/>
      <c r="I159" s="4">
        <f t="shared" ref="I159" si="81">I147+1</f>
        <v>1876</v>
      </c>
      <c r="J159" s="14" t="s">
        <v>96</v>
      </c>
      <c r="K159" s="15">
        <v>2.96</v>
      </c>
      <c r="L159" s="105">
        <f>L158+(L158*(RATE(($R$161-$R$158),0,L$158,-L$161)))</f>
        <v>22.285447535319395</v>
      </c>
      <c r="M159" s="15"/>
      <c r="N159" s="15"/>
      <c r="O159" s="15"/>
      <c r="P159" s="15"/>
      <c r="Q159" s="15"/>
      <c r="R159" s="106">
        <v>157</v>
      </c>
      <c r="S159" s="15"/>
      <c r="T159" s="15"/>
      <c r="U159" s="15"/>
    </row>
    <row r="160" spans="1:21">
      <c r="A160" s="15"/>
      <c r="B160" s="15"/>
      <c r="C160" s="15"/>
      <c r="D160" s="15"/>
      <c r="E160" s="15"/>
      <c r="F160" s="15"/>
      <c r="G160" s="15"/>
      <c r="H160" s="15"/>
      <c r="J160" s="14" t="s">
        <v>97</v>
      </c>
      <c r="K160" s="15">
        <v>3</v>
      </c>
      <c r="L160" s="105">
        <f>L159+(L159*(RATE(($R$161-$R$158),0,L$158,-L$161)))</f>
        <v>21.379301414097</v>
      </c>
      <c r="M160" s="15"/>
      <c r="N160" s="15"/>
      <c r="O160" s="15"/>
      <c r="P160" s="15"/>
      <c r="Q160" s="15"/>
      <c r="R160" s="106">
        <v>158</v>
      </c>
      <c r="S160" s="15"/>
      <c r="T160" s="15"/>
      <c r="U160" s="15"/>
    </row>
    <row r="161" spans="1:21">
      <c r="A161" s="15"/>
      <c r="B161" s="15"/>
      <c r="C161" s="15"/>
      <c r="D161" s="15"/>
      <c r="E161" s="15"/>
      <c r="F161" s="15"/>
      <c r="G161" s="15"/>
      <c r="H161" s="15"/>
      <c r="J161" s="14" t="s">
        <v>130</v>
      </c>
      <c r="K161" s="15">
        <v>3</v>
      </c>
      <c r="L161" s="15">
        <v>20.51</v>
      </c>
      <c r="M161" s="15"/>
      <c r="N161" s="15"/>
      <c r="O161" s="15"/>
      <c r="P161" s="15"/>
      <c r="Q161" s="15"/>
      <c r="R161" s="106">
        <v>159</v>
      </c>
      <c r="S161" s="15"/>
      <c r="T161" s="15"/>
      <c r="U161" s="15"/>
    </row>
    <row r="162" spans="1:21">
      <c r="A162" s="15"/>
      <c r="B162" s="15"/>
      <c r="C162" s="15"/>
      <c r="D162" s="15"/>
      <c r="E162" s="15"/>
      <c r="F162" s="15"/>
      <c r="G162" s="15"/>
      <c r="H162" s="15"/>
      <c r="J162" s="14" t="s">
        <v>131</v>
      </c>
      <c r="K162" s="15">
        <v>3</v>
      </c>
      <c r="L162" s="15">
        <v>20</v>
      </c>
      <c r="M162" s="15"/>
      <c r="N162" s="15"/>
      <c r="O162" s="15"/>
      <c r="P162" s="15"/>
      <c r="Q162" s="15"/>
      <c r="R162" s="106">
        <v>160</v>
      </c>
      <c r="S162" s="15"/>
      <c r="T162" s="15"/>
      <c r="U162" s="15"/>
    </row>
    <row r="163" spans="1:21">
      <c r="A163" s="15"/>
      <c r="B163" s="15"/>
      <c r="C163" s="15"/>
      <c r="D163" s="15"/>
      <c r="E163" s="15"/>
      <c r="F163" s="15"/>
      <c r="G163" s="15"/>
      <c r="H163" s="15"/>
      <c r="J163" s="14" t="s">
        <v>132</v>
      </c>
      <c r="K163" s="15">
        <v>3.14</v>
      </c>
      <c r="L163" s="15">
        <v>19.37</v>
      </c>
      <c r="M163" s="15"/>
      <c r="N163" s="15"/>
      <c r="O163" s="15"/>
      <c r="P163" s="15"/>
      <c r="Q163" s="15"/>
      <c r="R163" s="106">
        <v>161</v>
      </c>
      <c r="S163" s="15"/>
      <c r="T163" s="15"/>
      <c r="U163" s="15"/>
    </row>
    <row r="164" spans="1:21">
      <c r="A164" s="15"/>
      <c r="B164" s="15"/>
      <c r="C164" s="15"/>
      <c r="D164" s="15"/>
      <c r="E164" s="15"/>
      <c r="F164" s="15"/>
      <c r="G164" s="15"/>
      <c r="H164" s="15"/>
      <c r="J164" s="14" t="s">
        <v>133</v>
      </c>
      <c r="K164" s="15">
        <v>2.38</v>
      </c>
      <c r="L164" s="15">
        <v>19.829999999999998</v>
      </c>
      <c r="M164" s="15"/>
      <c r="N164" s="15"/>
      <c r="O164" s="15"/>
      <c r="P164" s="15"/>
      <c r="Q164" s="15"/>
      <c r="R164" s="106">
        <v>162</v>
      </c>
      <c r="S164" s="15"/>
      <c r="T164" s="15"/>
      <c r="U164" s="15"/>
    </row>
    <row r="165" spans="1:21">
      <c r="A165" s="15"/>
      <c r="B165" s="15"/>
      <c r="C165" s="15"/>
      <c r="D165" s="15"/>
      <c r="E165" s="15"/>
      <c r="F165" s="15"/>
      <c r="G165" s="15"/>
      <c r="H165" s="15"/>
      <c r="J165" s="14" t="s">
        <v>134</v>
      </c>
      <c r="K165" s="15">
        <v>2.02</v>
      </c>
      <c r="L165" s="15">
        <v>20.85</v>
      </c>
      <c r="M165" s="15"/>
      <c r="N165" s="15"/>
      <c r="O165" s="15"/>
      <c r="P165" s="15"/>
      <c r="Q165" s="15"/>
      <c r="R165" s="106">
        <v>163</v>
      </c>
      <c r="S165" s="15"/>
      <c r="T165" s="15"/>
      <c r="U165" s="15"/>
    </row>
    <row r="166" spans="1:21">
      <c r="A166" s="15"/>
      <c r="B166" s="15"/>
      <c r="C166" s="15"/>
      <c r="D166" s="15"/>
      <c r="E166" s="15"/>
      <c r="F166" s="15"/>
      <c r="G166" s="15"/>
      <c r="H166" s="15"/>
      <c r="J166" s="14" t="s">
        <v>135</v>
      </c>
      <c r="K166" s="15">
        <v>2.09</v>
      </c>
      <c r="L166" s="15">
        <v>20.85</v>
      </c>
      <c r="M166" s="15"/>
      <c r="N166" s="15"/>
      <c r="O166" s="15"/>
      <c r="P166" s="15"/>
      <c r="Q166" s="15"/>
      <c r="R166" s="106">
        <v>164</v>
      </c>
      <c r="S166" s="15"/>
      <c r="T166" s="15"/>
      <c r="U166" s="15"/>
    </row>
    <row r="167" spans="1:21">
      <c r="A167" s="15"/>
      <c r="B167" s="15"/>
      <c r="C167" s="15"/>
      <c r="D167" s="15"/>
      <c r="E167" s="15"/>
      <c r="F167" s="15"/>
      <c r="G167" s="15"/>
      <c r="H167" s="15"/>
      <c r="J167" s="14" t="s">
        <v>136</v>
      </c>
      <c r="K167" s="15">
        <v>2.41</v>
      </c>
      <c r="L167" s="15">
        <v>21.3</v>
      </c>
      <c r="M167" s="15"/>
      <c r="N167" s="15"/>
      <c r="O167" s="15"/>
      <c r="P167" s="15"/>
      <c r="Q167" s="15"/>
      <c r="R167" s="106">
        <v>165</v>
      </c>
      <c r="S167" s="15"/>
      <c r="T167" s="15"/>
      <c r="U167" s="15"/>
    </row>
    <row r="168" spans="1:21">
      <c r="A168" s="15"/>
      <c r="B168" s="15"/>
      <c r="C168" s="15"/>
      <c r="D168" s="15"/>
      <c r="E168" s="15"/>
      <c r="F168" s="15"/>
      <c r="G168" s="15"/>
      <c r="H168" s="15"/>
      <c r="J168" s="14" t="s">
        <v>192</v>
      </c>
      <c r="K168" s="15">
        <v>2.72</v>
      </c>
      <c r="L168" s="15">
        <v>21.3</v>
      </c>
      <c r="M168" s="15"/>
      <c r="N168" s="15"/>
      <c r="O168" s="15"/>
      <c r="P168" s="15"/>
      <c r="Q168" s="15"/>
      <c r="R168" s="106">
        <v>166</v>
      </c>
      <c r="S168" s="15"/>
      <c r="T168" s="15"/>
      <c r="U168" s="15"/>
    </row>
    <row r="169" spans="1:21">
      <c r="A169" s="15"/>
      <c r="B169" s="15"/>
      <c r="C169" s="15"/>
      <c r="D169" s="15"/>
      <c r="E169" s="15"/>
      <c r="F169" s="15"/>
      <c r="G169" s="15"/>
      <c r="H169" s="15"/>
      <c r="J169" s="14" t="s">
        <v>193</v>
      </c>
      <c r="K169" s="15">
        <v>2.78</v>
      </c>
      <c r="L169" s="15">
        <v>21.41</v>
      </c>
      <c r="M169" s="15"/>
      <c r="N169" s="15"/>
      <c r="O169" s="15"/>
      <c r="P169" s="15"/>
      <c r="Q169" s="15"/>
      <c r="R169" s="106">
        <v>167</v>
      </c>
      <c r="S169" s="15"/>
      <c r="T169" s="15"/>
      <c r="U169" s="15"/>
    </row>
    <row r="170" spans="1:21">
      <c r="A170" s="15"/>
      <c r="B170" s="15"/>
      <c r="C170" s="15"/>
      <c r="D170" s="15"/>
      <c r="E170" s="15"/>
      <c r="F170" s="15"/>
      <c r="G170" s="15"/>
      <c r="H170" s="15"/>
      <c r="J170" s="14" t="s">
        <v>194</v>
      </c>
      <c r="K170" s="15">
        <v>2.66</v>
      </c>
      <c r="L170" s="15">
        <v>21.64</v>
      </c>
      <c r="M170" s="15"/>
      <c r="N170" s="15"/>
      <c r="O170" s="15"/>
      <c r="P170" s="15"/>
      <c r="Q170" s="15"/>
      <c r="R170" s="106">
        <v>168</v>
      </c>
      <c r="S170" s="15"/>
      <c r="T170" s="15"/>
      <c r="U170" s="15"/>
    </row>
    <row r="171" spans="1:21">
      <c r="A171" s="15"/>
      <c r="B171" s="15"/>
      <c r="C171" s="15"/>
      <c r="D171" s="15"/>
      <c r="E171" s="15"/>
      <c r="F171" s="15"/>
      <c r="G171" s="15"/>
      <c r="H171" s="15"/>
      <c r="I171" s="4">
        <f t="shared" ref="I171" si="82">I159+1</f>
        <v>1877</v>
      </c>
      <c r="J171" s="14" t="s">
        <v>96</v>
      </c>
      <c r="K171" s="15">
        <v>2.61</v>
      </c>
      <c r="L171" s="15">
        <v>21.75</v>
      </c>
      <c r="M171" s="15"/>
      <c r="N171" s="15"/>
      <c r="O171" s="15"/>
      <c r="P171" s="15"/>
      <c r="Q171" s="15"/>
      <c r="R171" s="106">
        <v>169</v>
      </c>
      <c r="S171" s="15"/>
      <c r="T171" s="15"/>
      <c r="U171" s="15"/>
    </row>
    <row r="172" spans="1:21">
      <c r="A172" s="15"/>
      <c r="B172" s="15"/>
      <c r="C172" s="15"/>
      <c r="D172" s="15"/>
      <c r="E172" s="15"/>
      <c r="F172" s="15"/>
      <c r="G172" s="15"/>
      <c r="H172" s="15"/>
      <c r="J172" s="14" t="s">
        <v>97</v>
      </c>
      <c r="K172" s="15">
        <v>2.57</v>
      </c>
      <c r="L172" s="15">
        <v>21.41</v>
      </c>
      <c r="M172" s="15"/>
      <c r="N172" s="15"/>
      <c r="O172" s="15"/>
      <c r="P172" s="15"/>
      <c r="Q172" s="15"/>
      <c r="R172" s="106">
        <v>170</v>
      </c>
      <c r="S172" s="15"/>
      <c r="T172" s="15"/>
      <c r="U172" s="15"/>
    </row>
    <row r="173" spans="1:21">
      <c r="A173" s="15"/>
      <c r="B173" s="15"/>
      <c r="C173" s="15"/>
      <c r="D173" s="15"/>
      <c r="E173" s="15"/>
      <c r="F173" s="15"/>
      <c r="G173" s="15"/>
      <c r="H173" s="15"/>
      <c r="J173" s="14" t="s">
        <v>130</v>
      </c>
      <c r="K173" s="15">
        <v>2.54</v>
      </c>
      <c r="L173" s="15">
        <v>21.24</v>
      </c>
      <c r="M173" s="15"/>
      <c r="N173" s="15"/>
      <c r="O173" s="15"/>
      <c r="P173" s="15"/>
      <c r="Q173" s="15"/>
      <c r="R173" s="106">
        <v>171</v>
      </c>
      <c r="S173" s="15"/>
      <c r="T173" s="15"/>
      <c r="U173" s="15"/>
    </row>
    <row r="174" spans="1:21">
      <c r="A174" s="15"/>
      <c r="B174" s="15"/>
      <c r="C174" s="15"/>
      <c r="D174" s="15"/>
      <c r="E174" s="15"/>
      <c r="F174" s="15"/>
      <c r="G174" s="15"/>
      <c r="H174" s="15"/>
      <c r="J174" s="14" t="s">
        <v>131</v>
      </c>
      <c r="K174" s="15">
        <v>2.86</v>
      </c>
      <c r="L174" s="15">
        <v>22.71</v>
      </c>
      <c r="M174" s="15"/>
      <c r="N174" s="15"/>
      <c r="O174" s="15"/>
      <c r="P174" s="15"/>
      <c r="Q174" s="15"/>
      <c r="R174" s="106">
        <v>172</v>
      </c>
      <c r="S174" s="15"/>
      <c r="T174" s="15"/>
      <c r="U174" s="15"/>
    </row>
    <row r="175" spans="1:21">
      <c r="A175" s="15"/>
      <c r="B175" s="15"/>
      <c r="C175" s="15"/>
      <c r="D175" s="15"/>
      <c r="E175" s="15"/>
      <c r="F175" s="15"/>
      <c r="G175" s="15"/>
      <c r="H175" s="15"/>
      <c r="J175" s="14" t="s">
        <v>132</v>
      </c>
      <c r="K175" s="15">
        <v>2.86</v>
      </c>
      <c r="L175" s="15">
        <v>24.93</v>
      </c>
      <c r="M175" s="15"/>
      <c r="N175" s="15"/>
      <c r="O175" s="15"/>
      <c r="P175" s="15"/>
      <c r="Q175" s="15"/>
      <c r="R175" s="106">
        <v>173</v>
      </c>
      <c r="S175" s="15"/>
      <c r="T175" s="15"/>
      <c r="U175" s="15"/>
    </row>
    <row r="176" spans="1:21">
      <c r="A176" s="15"/>
      <c r="B176" s="15"/>
      <c r="C176" s="15"/>
      <c r="D176" s="15"/>
      <c r="E176" s="15"/>
      <c r="F176" s="15"/>
      <c r="G176" s="15"/>
      <c r="H176" s="15"/>
      <c r="J176" s="14" t="s">
        <v>133</v>
      </c>
      <c r="K176" s="15">
        <v>2.92</v>
      </c>
      <c r="L176" s="15">
        <v>23.86</v>
      </c>
      <c r="M176" s="15"/>
      <c r="N176" s="15"/>
      <c r="O176" s="15"/>
      <c r="P176" s="15"/>
      <c r="Q176" s="15"/>
      <c r="R176" s="106">
        <v>174</v>
      </c>
      <c r="S176" s="15"/>
      <c r="T176" s="15"/>
      <c r="U176" s="15"/>
    </row>
    <row r="177" spans="1:21">
      <c r="A177" s="15"/>
      <c r="B177" s="15"/>
      <c r="C177" s="15"/>
      <c r="D177" s="15"/>
      <c r="E177" s="15"/>
      <c r="F177" s="15"/>
      <c r="G177" s="15"/>
      <c r="H177" s="15"/>
      <c r="J177" s="14" t="s">
        <v>134</v>
      </c>
      <c r="K177" s="15">
        <v>3.33</v>
      </c>
      <c r="L177" s="15">
        <v>23.34</v>
      </c>
      <c r="M177" s="15"/>
      <c r="N177" s="15"/>
      <c r="O177" s="15"/>
      <c r="P177" s="15"/>
      <c r="Q177" s="15"/>
      <c r="R177" s="106">
        <v>175</v>
      </c>
      <c r="S177" s="15"/>
      <c r="T177" s="15"/>
      <c r="U177" s="15"/>
    </row>
    <row r="178" spans="1:21">
      <c r="A178" s="15"/>
      <c r="B178" s="15"/>
      <c r="C178" s="15"/>
      <c r="D178" s="15"/>
      <c r="E178" s="15"/>
      <c r="F178" s="15"/>
      <c r="G178" s="15"/>
      <c r="H178" s="15"/>
      <c r="J178" s="14" t="s">
        <v>135</v>
      </c>
      <c r="K178" s="15">
        <v>3.47</v>
      </c>
      <c r="L178" s="15">
        <v>23.34</v>
      </c>
      <c r="M178" s="15"/>
      <c r="N178" s="15"/>
      <c r="O178" s="15"/>
      <c r="P178" s="15"/>
      <c r="Q178" s="15"/>
      <c r="R178" s="106">
        <v>176</v>
      </c>
      <c r="S178" s="15"/>
      <c r="T178" s="15"/>
      <c r="U178" s="15"/>
    </row>
    <row r="179" spans="1:21">
      <c r="A179" s="15"/>
      <c r="B179" s="15"/>
      <c r="C179" s="15"/>
      <c r="D179" s="15"/>
      <c r="E179" s="15"/>
      <c r="F179" s="15"/>
      <c r="G179" s="15"/>
      <c r="H179" s="15"/>
      <c r="J179" s="14" t="s">
        <v>136</v>
      </c>
      <c r="K179" s="15">
        <v>3.28</v>
      </c>
      <c r="L179" s="15">
        <v>23.34</v>
      </c>
      <c r="M179" s="15"/>
      <c r="N179" s="15"/>
      <c r="O179" s="15"/>
      <c r="P179" s="15"/>
      <c r="Q179" s="15"/>
      <c r="R179" s="106">
        <v>177</v>
      </c>
      <c r="S179" s="15"/>
      <c r="T179" s="15"/>
      <c r="U179" s="15"/>
    </row>
    <row r="180" spans="1:21">
      <c r="A180" s="15"/>
      <c r="B180" s="15"/>
      <c r="C180" s="15"/>
      <c r="D180" s="15"/>
      <c r="E180" s="15"/>
      <c r="F180" s="15"/>
      <c r="G180" s="15"/>
      <c r="H180" s="15"/>
      <c r="J180" s="14" t="s">
        <v>192</v>
      </c>
      <c r="K180" s="15">
        <v>3.14</v>
      </c>
      <c r="L180" s="15">
        <v>23.34</v>
      </c>
      <c r="M180" s="15"/>
      <c r="N180" s="15"/>
      <c r="O180" s="15"/>
      <c r="P180" s="15"/>
      <c r="Q180" s="15"/>
      <c r="R180" s="106">
        <v>178</v>
      </c>
      <c r="S180" s="15"/>
      <c r="T180" s="15"/>
      <c r="U180" s="15"/>
    </row>
    <row r="181" spans="1:21">
      <c r="A181" s="15"/>
      <c r="B181" s="15"/>
      <c r="C181" s="15"/>
      <c r="D181" s="15"/>
      <c r="E181" s="15"/>
      <c r="F181" s="15"/>
      <c r="G181" s="15"/>
      <c r="H181" s="15"/>
      <c r="J181" s="14" t="s">
        <v>193</v>
      </c>
      <c r="K181" s="15">
        <v>3.14</v>
      </c>
      <c r="L181" s="15">
        <v>22.26</v>
      </c>
      <c r="M181" s="15"/>
      <c r="N181" s="15"/>
      <c r="O181" s="15"/>
      <c r="P181" s="15"/>
      <c r="Q181" s="15"/>
      <c r="R181" s="106">
        <v>179</v>
      </c>
      <c r="S181" s="15"/>
      <c r="T181" s="15"/>
      <c r="U181" s="15"/>
    </row>
    <row r="182" spans="1:21">
      <c r="A182" s="15"/>
      <c r="B182" s="15"/>
      <c r="C182" s="15"/>
      <c r="D182" s="15"/>
      <c r="E182" s="15"/>
      <c r="F182" s="15"/>
      <c r="G182" s="15"/>
      <c r="H182" s="15"/>
      <c r="J182" s="14" t="s">
        <v>194</v>
      </c>
      <c r="K182" s="15">
        <v>3.09</v>
      </c>
      <c r="L182" s="15">
        <v>21.19</v>
      </c>
      <c r="M182" s="15"/>
      <c r="N182" s="15"/>
      <c r="O182" s="15"/>
      <c r="P182" s="15"/>
      <c r="Q182" s="15"/>
      <c r="R182" s="106">
        <v>180</v>
      </c>
      <c r="S182" s="15"/>
      <c r="T182" s="15"/>
      <c r="U182" s="15"/>
    </row>
    <row r="183" spans="1:21">
      <c r="A183" s="15"/>
      <c r="B183" s="15"/>
      <c r="C183" s="15"/>
      <c r="D183" s="15"/>
      <c r="E183" s="15"/>
      <c r="F183" s="15"/>
      <c r="G183" s="15"/>
      <c r="H183" s="15"/>
      <c r="I183" s="4">
        <f t="shared" ref="I183" si="83">I171+1</f>
        <v>1878</v>
      </c>
      <c r="J183" s="14" t="s">
        <v>96</v>
      </c>
      <c r="K183" s="105">
        <f>K182+(K182*(RATE(($R$184-$R$182),0,K$182,-K$184)))</f>
        <v>3.1198557658968786</v>
      </c>
      <c r="L183" s="15">
        <v>21.19</v>
      </c>
      <c r="M183" s="15"/>
      <c r="N183" s="15"/>
      <c r="O183" s="15"/>
      <c r="P183" s="15"/>
      <c r="Q183" s="15"/>
      <c r="R183" s="106">
        <v>181</v>
      </c>
      <c r="S183" s="15"/>
      <c r="T183" s="15"/>
      <c r="U183" s="15"/>
    </row>
    <row r="184" spans="1:21">
      <c r="A184" s="15"/>
      <c r="B184" s="15"/>
      <c r="C184" s="15"/>
      <c r="D184" s="15"/>
      <c r="E184" s="15"/>
      <c r="F184" s="15"/>
      <c r="G184" s="15"/>
      <c r="H184" s="15"/>
      <c r="J184" s="14" t="s">
        <v>97</v>
      </c>
      <c r="K184" s="15">
        <v>3.15</v>
      </c>
      <c r="L184" s="15">
        <v>20.170000000000002</v>
      </c>
      <c r="M184" s="15"/>
      <c r="N184" s="15">
        <v>3.62</v>
      </c>
      <c r="O184" s="15"/>
      <c r="P184" s="15">
        <v>1.6</v>
      </c>
      <c r="Q184" s="15"/>
      <c r="R184" s="106">
        <v>182</v>
      </c>
      <c r="S184" s="15"/>
      <c r="T184" s="15"/>
      <c r="U184" s="15"/>
    </row>
    <row r="185" spans="1:21">
      <c r="A185" s="15"/>
      <c r="B185" s="15"/>
      <c r="C185" s="15"/>
      <c r="D185" s="15"/>
      <c r="E185" s="15"/>
      <c r="F185" s="15"/>
      <c r="G185" s="15"/>
      <c r="H185" s="15"/>
      <c r="J185" s="14" t="s">
        <v>130</v>
      </c>
      <c r="K185" s="15">
        <v>3.57</v>
      </c>
      <c r="L185" s="15">
        <v>20.39</v>
      </c>
      <c r="M185" s="15"/>
      <c r="N185" s="15">
        <v>4.0999999999999996</v>
      </c>
      <c r="O185" s="15"/>
      <c r="P185" s="15">
        <v>1.19</v>
      </c>
      <c r="Q185" s="15"/>
      <c r="R185" s="106">
        <v>183</v>
      </c>
      <c r="S185" s="15"/>
      <c r="T185" s="15"/>
      <c r="U185" s="15"/>
    </row>
    <row r="186" spans="1:21">
      <c r="A186" s="15"/>
      <c r="B186" s="15"/>
      <c r="C186" s="15"/>
      <c r="D186" s="15"/>
      <c r="E186" s="15"/>
      <c r="F186" s="15"/>
      <c r="G186" s="15"/>
      <c r="H186" s="15"/>
      <c r="J186" s="14" t="s">
        <v>131</v>
      </c>
      <c r="K186" s="15">
        <v>3.71</v>
      </c>
      <c r="L186" s="15">
        <v>20.21</v>
      </c>
      <c r="M186" s="15"/>
      <c r="N186" s="15">
        <v>4.1100000000000003</v>
      </c>
      <c r="O186" s="15"/>
      <c r="P186" s="15">
        <v>1.37</v>
      </c>
      <c r="Q186" s="15"/>
      <c r="R186" s="106">
        <v>184</v>
      </c>
      <c r="S186" s="15"/>
      <c r="T186" s="15"/>
      <c r="U186" s="15"/>
    </row>
    <row r="187" spans="1:21">
      <c r="A187" s="15"/>
      <c r="B187" s="15"/>
      <c r="C187" s="15"/>
      <c r="D187" s="15"/>
      <c r="E187" s="15"/>
      <c r="F187" s="15"/>
      <c r="G187" s="15"/>
      <c r="H187" s="15"/>
      <c r="J187" s="14" t="s">
        <v>132</v>
      </c>
      <c r="K187" s="15">
        <v>3.68</v>
      </c>
      <c r="L187" s="15">
        <v>19.37</v>
      </c>
      <c r="M187" s="15"/>
      <c r="N187" s="15">
        <v>4.2300000000000004</v>
      </c>
      <c r="O187" s="15"/>
      <c r="P187" s="15">
        <v>1.58</v>
      </c>
      <c r="Q187" s="15"/>
      <c r="R187" s="106">
        <v>185</v>
      </c>
      <c r="S187" s="15"/>
      <c r="T187" s="15"/>
      <c r="U187" s="15"/>
    </row>
    <row r="188" spans="1:21">
      <c r="A188" s="15"/>
      <c r="B188" s="15"/>
      <c r="C188" s="15"/>
      <c r="D188" s="15"/>
      <c r="E188" s="15"/>
      <c r="F188" s="15"/>
      <c r="G188" s="15"/>
      <c r="H188" s="15"/>
      <c r="J188" s="14" t="s">
        <v>133</v>
      </c>
      <c r="K188" s="15">
        <v>3.76</v>
      </c>
      <c r="L188" s="15">
        <v>18.75</v>
      </c>
      <c r="M188" s="15"/>
      <c r="N188" s="15">
        <v>4.32</v>
      </c>
      <c r="O188" s="15"/>
      <c r="P188" s="15">
        <v>1.32</v>
      </c>
      <c r="Q188" s="15"/>
      <c r="R188" s="106">
        <v>186</v>
      </c>
      <c r="S188" s="15"/>
      <c r="T188" s="15"/>
      <c r="U188" s="15"/>
    </row>
    <row r="189" spans="1:21">
      <c r="A189" s="15"/>
      <c r="B189" s="15"/>
      <c r="C189" s="15"/>
      <c r="D189" s="15"/>
      <c r="E189" s="15"/>
      <c r="F189" s="15"/>
      <c r="G189" s="15"/>
      <c r="H189" s="15"/>
      <c r="J189" s="14" t="s">
        <v>134</v>
      </c>
      <c r="K189" s="15">
        <v>3.81</v>
      </c>
      <c r="L189" s="15">
        <v>18.850000000000001</v>
      </c>
      <c r="M189" s="15"/>
      <c r="N189" s="15">
        <v>4.4000000000000004</v>
      </c>
      <c r="O189" s="15"/>
      <c r="P189" s="15">
        <v>1.1399999999999999</v>
      </c>
      <c r="Q189" s="15"/>
      <c r="R189" s="106">
        <v>187</v>
      </c>
      <c r="S189" s="15"/>
      <c r="T189" s="15"/>
      <c r="U189" s="15"/>
    </row>
    <row r="190" spans="1:21">
      <c r="A190" s="15"/>
      <c r="B190" s="15"/>
      <c r="C190" s="15"/>
      <c r="D190" s="15"/>
      <c r="E190" s="15"/>
      <c r="F190" s="15"/>
      <c r="G190" s="15"/>
      <c r="H190" s="15"/>
      <c r="J190" s="14" t="s">
        <v>135</v>
      </c>
      <c r="K190" s="15">
        <v>3.79</v>
      </c>
      <c r="L190" s="15">
        <v>18.579999999999998</v>
      </c>
      <c r="M190" s="15"/>
      <c r="N190" s="15">
        <v>4.3499999999999996</v>
      </c>
      <c r="O190" s="15"/>
      <c r="P190" s="15">
        <v>1.0900000000000001</v>
      </c>
      <c r="Q190" s="15"/>
      <c r="R190" s="106">
        <v>188</v>
      </c>
      <c r="S190" s="15"/>
      <c r="T190" s="15"/>
      <c r="U190" s="15"/>
    </row>
    <row r="191" spans="1:21">
      <c r="A191" s="15"/>
      <c r="B191" s="15"/>
      <c r="C191" s="15"/>
      <c r="D191" s="15"/>
      <c r="E191" s="15"/>
      <c r="F191" s="15"/>
      <c r="G191" s="15"/>
      <c r="H191" s="15"/>
      <c r="J191" s="14" t="s">
        <v>136</v>
      </c>
      <c r="K191" s="15">
        <v>3.7</v>
      </c>
      <c r="L191" s="15">
        <v>18.579999999999998</v>
      </c>
      <c r="M191" s="15"/>
      <c r="N191" s="15">
        <v>4.22</v>
      </c>
      <c r="O191" s="15"/>
      <c r="P191" s="15">
        <v>1.1200000000000001</v>
      </c>
      <c r="Q191" s="15"/>
      <c r="R191" s="106">
        <v>189</v>
      </c>
      <c r="S191" s="15"/>
      <c r="T191" s="15"/>
      <c r="U191" s="15"/>
    </row>
    <row r="192" spans="1:21">
      <c r="A192" s="15"/>
      <c r="B192" s="15"/>
      <c r="C192" s="15"/>
      <c r="D192" s="15"/>
      <c r="E192" s="15"/>
      <c r="F192" s="15"/>
      <c r="G192" s="15"/>
      <c r="H192" s="15"/>
      <c r="J192" s="14" t="s">
        <v>192</v>
      </c>
      <c r="K192" s="15">
        <v>3.58</v>
      </c>
      <c r="L192" s="15">
        <v>18.579999999999998</v>
      </c>
      <c r="M192" s="15"/>
      <c r="N192" s="15">
        <v>4.1399999999999997</v>
      </c>
      <c r="O192" s="15"/>
      <c r="P192" s="15">
        <v>1.25</v>
      </c>
      <c r="Q192" s="15"/>
      <c r="R192" s="106">
        <v>190</v>
      </c>
      <c r="S192" s="15"/>
      <c r="T192" s="15"/>
      <c r="U192" s="15"/>
    </row>
    <row r="193" spans="1:21">
      <c r="A193" s="15"/>
      <c r="B193" s="15"/>
      <c r="C193" s="15"/>
      <c r="D193" s="15"/>
      <c r="E193" s="15"/>
      <c r="F193" s="15"/>
      <c r="G193" s="15"/>
      <c r="H193" s="15"/>
      <c r="J193" s="14" t="s">
        <v>193</v>
      </c>
      <c r="K193" s="15">
        <v>3.47</v>
      </c>
      <c r="L193" s="105">
        <f>L192+(L192*(RATE(($R$194-$R$192),0,L$192,-L$194)))</f>
        <v>19.301010336265243</v>
      </c>
      <c r="M193" s="15"/>
      <c r="N193" s="15">
        <v>3.99</v>
      </c>
      <c r="O193" s="15"/>
      <c r="P193" s="15">
        <v>1.17</v>
      </c>
      <c r="Q193" s="15"/>
      <c r="R193" s="106">
        <v>191</v>
      </c>
      <c r="S193" s="15"/>
      <c r="T193" s="15"/>
      <c r="U193" s="15"/>
    </row>
    <row r="194" spans="1:21">
      <c r="A194" s="15"/>
      <c r="B194" s="15"/>
      <c r="C194" s="15"/>
      <c r="D194" s="15"/>
      <c r="E194" s="15"/>
      <c r="F194" s="15"/>
      <c r="G194" s="15"/>
      <c r="H194" s="15"/>
      <c r="J194" s="14" t="s">
        <v>194</v>
      </c>
      <c r="K194" s="15">
        <v>3.19</v>
      </c>
      <c r="L194" s="15">
        <v>20.05</v>
      </c>
      <c r="M194" s="15"/>
      <c r="N194" s="15">
        <v>3.66</v>
      </c>
      <c r="O194" s="15"/>
      <c r="P194" s="15">
        <v>1.1399999999999999</v>
      </c>
      <c r="Q194" s="15"/>
      <c r="R194" s="106">
        <v>192</v>
      </c>
      <c r="S194" s="15"/>
      <c r="T194" s="15"/>
      <c r="U194" s="15"/>
    </row>
    <row r="195" spans="1:21">
      <c r="A195" s="15"/>
      <c r="B195" s="15"/>
      <c r="C195" s="15"/>
      <c r="D195" s="15"/>
      <c r="E195" s="15"/>
      <c r="F195" s="15"/>
      <c r="G195" s="15"/>
      <c r="H195" s="15"/>
      <c r="I195" s="4">
        <f t="shared" ref="I195" si="84">I183+1</f>
        <v>1879</v>
      </c>
      <c r="J195" s="14" t="s">
        <v>96</v>
      </c>
      <c r="K195" s="15">
        <v>2.92</v>
      </c>
      <c r="L195" s="15">
        <v>21.1</v>
      </c>
      <c r="M195" s="15"/>
      <c r="N195" s="15">
        <v>2.74</v>
      </c>
      <c r="O195" s="15"/>
      <c r="P195" s="15">
        <v>1.38</v>
      </c>
      <c r="Q195" s="15"/>
      <c r="R195" s="106">
        <v>193</v>
      </c>
      <c r="S195" s="15"/>
      <c r="T195" s="15"/>
      <c r="U195" s="15"/>
    </row>
    <row r="196" spans="1:21">
      <c r="A196" s="15"/>
      <c r="B196" s="15"/>
      <c r="C196" s="15"/>
      <c r="D196" s="15"/>
      <c r="E196" s="15"/>
      <c r="F196" s="15"/>
      <c r="G196" s="15"/>
      <c r="H196" s="15"/>
      <c r="J196" s="14" t="s">
        <v>97</v>
      </c>
      <c r="K196" s="15">
        <v>2.93</v>
      </c>
      <c r="L196" s="15">
        <v>19.68</v>
      </c>
      <c r="M196" s="15"/>
      <c r="N196" s="15">
        <v>2.75</v>
      </c>
      <c r="O196" s="15"/>
      <c r="P196" s="15">
        <v>1.53</v>
      </c>
      <c r="Q196" s="15"/>
      <c r="R196" s="106">
        <v>194</v>
      </c>
      <c r="S196" s="15"/>
      <c r="T196" s="15"/>
      <c r="U196" s="15"/>
    </row>
    <row r="197" spans="1:21">
      <c r="A197" s="15"/>
      <c r="B197" s="15"/>
      <c r="C197" s="15"/>
      <c r="D197" s="15"/>
      <c r="E197" s="15"/>
      <c r="F197" s="15"/>
      <c r="G197" s="15"/>
      <c r="H197" s="15"/>
      <c r="J197" s="14" t="s">
        <v>130</v>
      </c>
      <c r="K197" s="15">
        <v>2.98</v>
      </c>
      <c r="L197" s="15">
        <v>19.940000000000001</v>
      </c>
      <c r="M197" s="15"/>
      <c r="N197" s="15">
        <v>2.79</v>
      </c>
      <c r="O197" s="15"/>
      <c r="P197" s="15">
        <v>1.32</v>
      </c>
      <c r="Q197" s="15"/>
      <c r="R197" s="106">
        <v>195</v>
      </c>
      <c r="S197" s="15"/>
      <c r="T197" s="15"/>
      <c r="U197" s="15"/>
    </row>
    <row r="198" spans="1:21">
      <c r="A198" s="15"/>
      <c r="B198" s="15"/>
      <c r="C198" s="15"/>
      <c r="D198" s="15"/>
      <c r="E198" s="15"/>
      <c r="F198" s="15"/>
      <c r="G198" s="15"/>
      <c r="H198" s="15"/>
      <c r="J198" s="14" t="s">
        <v>131</v>
      </c>
      <c r="K198" s="15">
        <v>2.96</v>
      </c>
      <c r="L198" s="15">
        <v>18.98</v>
      </c>
      <c r="M198" s="15"/>
      <c r="N198" s="15">
        <v>2.7</v>
      </c>
      <c r="O198" s="15"/>
      <c r="P198" s="15">
        <v>1.31</v>
      </c>
      <c r="Q198" s="15"/>
      <c r="R198" s="106">
        <v>196</v>
      </c>
      <c r="S198" s="15"/>
      <c r="T198" s="15"/>
      <c r="U198" s="15"/>
    </row>
    <row r="199" spans="1:21">
      <c r="A199" s="15"/>
      <c r="B199" s="15"/>
      <c r="C199" s="15"/>
      <c r="D199" s="15"/>
      <c r="E199" s="15"/>
      <c r="F199" s="15"/>
      <c r="G199" s="15"/>
      <c r="H199" s="15"/>
      <c r="J199" s="14" t="s">
        <v>132</v>
      </c>
      <c r="K199" s="15">
        <v>2.97</v>
      </c>
      <c r="L199" s="15">
        <v>19.600000000000001</v>
      </c>
      <c r="M199" s="15"/>
      <c r="N199" s="15">
        <v>2.71</v>
      </c>
      <c r="O199" s="15"/>
      <c r="P199" s="15">
        <v>1.31</v>
      </c>
      <c r="Q199" s="15"/>
      <c r="R199" s="106">
        <v>197</v>
      </c>
      <c r="S199" s="15"/>
      <c r="T199" s="15"/>
      <c r="U199" s="15"/>
    </row>
    <row r="200" spans="1:21">
      <c r="A200" s="15"/>
      <c r="B200" s="15"/>
      <c r="C200" s="15"/>
      <c r="D200" s="15"/>
      <c r="E200" s="15"/>
      <c r="F200" s="15"/>
      <c r="G200" s="15"/>
      <c r="H200" s="15"/>
      <c r="J200" s="14" t="s">
        <v>133</v>
      </c>
      <c r="K200" s="15">
        <v>2.98</v>
      </c>
      <c r="L200" s="15">
        <v>19.350000000000001</v>
      </c>
      <c r="M200" s="15"/>
      <c r="N200" s="15">
        <v>2.72</v>
      </c>
      <c r="O200" s="15"/>
      <c r="P200" s="15">
        <v>1.32</v>
      </c>
      <c r="Q200" s="15"/>
      <c r="R200" s="106">
        <v>198</v>
      </c>
      <c r="S200" s="15"/>
      <c r="T200" s="15"/>
      <c r="U200" s="15"/>
    </row>
    <row r="201" spans="1:21">
      <c r="A201" s="15"/>
      <c r="B201" s="15"/>
      <c r="C201" s="15"/>
      <c r="D201" s="15"/>
      <c r="E201" s="15"/>
      <c r="F201" s="15"/>
      <c r="G201" s="15"/>
      <c r="H201" s="15"/>
      <c r="J201" s="14" t="s">
        <v>134</v>
      </c>
      <c r="K201" s="15">
        <v>2.97</v>
      </c>
      <c r="L201" s="15">
        <v>19.489999999999998</v>
      </c>
      <c r="M201" s="15"/>
      <c r="N201" s="15">
        <v>2.71</v>
      </c>
      <c r="O201" s="15"/>
      <c r="P201" s="15">
        <v>1.31</v>
      </c>
      <c r="Q201" s="15"/>
      <c r="R201" s="106">
        <v>199</v>
      </c>
      <c r="S201" s="15"/>
      <c r="T201" s="15"/>
      <c r="U201" s="15"/>
    </row>
    <row r="202" spans="1:21">
      <c r="A202" s="15"/>
      <c r="B202" s="15"/>
      <c r="C202" s="15"/>
      <c r="D202" s="15"/>
      <c r="E202" s="15"/>
      <c r="F202" s="15"/>
      <c r="G202" s="15"/>
      <c r="H202" s="15"/>
      <c r="J202" s="14" t="s">
        <v>135</v>
      </c>
      <c r="K202" s="105">
        <f>K201+(K201*(RATE(($R$204-$R$201),0,K$201,-K$204)))</f>
        <v>2.9464809133562029</v>
      </c>
      <c r="L202" s="105">
        <f>L201+(L201*(RATE(($R$205-$R$201),0,L$201,-L$205)))</f>
        <v>20.558821215129562</v>
      </c>
      <c r="M202" s="15"/>
      <c r="N202" s="15">
        <v>3.92</v>
      </c>
      <c r="O202" s="15"/>
      <c r="P202" s="15">
        <v>1.7</v>
      </c>
      <c r="Q202" s="15"/>
      <c r="R202" s="106">
        <v>200</v>
      </c>
      <c r="S202" s="15"/>
      <c r="T202" s="15"/>
      <c r="U202" s="15"/>
    </row>
    <row r="203" spans="1:21">
      <c r="A203" s="15"/>
      <c r="B203" s="15"/>
      <c r="C203" s="15"/>
      <c r="D203" s="15"/>
      <c r="E203" s="15"/>
      <c r="F203" s="15"/>
      <c r="G203" s="15"/>
      <c r="H203" s="15"/>
      <c r="J203" s="14" t="s">
        <v>136</v>
      </c>
      <c r="K203" s="105">
        <f>K202+(K202*(RATE(($R$204-$R$201),0,K$201,-K$204)))</f>
        <v>2.9231480716405396</v>
      </c>
      <c r="L203" s="105">
        <f>L202+(L202*(RATE(($R$205-$R$201),0,L$201,-L$205)))</f>
        <v>21.686256016196069</v>
      </c>
      <c r="M203" s="15"/>
      <c r="N203" s="15">
        <v>3.78</v>
      </c>
      <c r="O203" s="15"/>
      <c r="P203" s="15">
        <v>2.0499999999999998</v>
      </c>
      <c r="Q203" s="15"/>
      <c r="R203" s="106">
        <v>201</v>
      </c>
      <c r="S203" s="15"/>
      <c r="T203" s="15"/>
      <c r="U203" s="15"/>
    </row>
    <row r="204" spans="1:21">
      <c r="A204" s="15"/>
      <c r="B204" s="15"/>
      <c r="C204" s="15"/>
      <c r="D204" s="15"/>
      <c r="E204" s="15"/>
      <c r="F204" s="15"/>
      <c r="G204" s="15"/>
      <c r="H204" s="15"/>
      <c r="J204" s="14" t="s">
        <v>192</v>
      </c>
      <c r="K204" s="15">
        <v>2.9</v>
      </c>
      <c r="L204" s="105">
        <f>L203+(L203*(RATE(($R$205-$R$201),0,L$201,-L$205)))</f>
        <v>22.875518741021182</v>
      </c>
      <c r="M204" s="15"/>
      <c r="N204" s="15">
        <v>4.03</v>
      </c>
      <c r="O204" s="15"/>
      <c r="P204" s="15">
        <v>2.2400000000000002</v>
      </c>
      <c r="Q204" s="15"/>
      <c r="R204" s="106">
        <v>202</v>
      </c>
      <c r="S204" s="15"/>
      <c r="T204" s="15"/>
      <c r="U204" s="15"/>
    </row>
    <row r="205" spans="1:21">
      <c r="A205" s="15"/>
      <c r="B205" s="15"/>
      <c r="C205" s="15"/>
      <c r="D205" s="15"/>
      <c r="E205" s="15"/>
      <c r="F205" s="15"/>
      <c r="G205" s="15"/>
      <c r="H205" s="15"/>
      <c r="J205" s="14" t="s">
        <v>193</v>
      </c>
      <c r="K205" s="15">
        <v>3.29</v>
      </c>
      <c r="L205" s="15">
        <v>24.13</v>
      </c>
      <c r="M205" s="15"/>
      <c r="N205" s="15">
        <v>4.53</v>
      </c>
      <c r="O205" s="15"/>
      <c r="P205" s="15">
        <v>2.5299999999999998</v>
      </c>
      <c r="Q205" s="15"/>
      <c r="R205" s="106">
        <v>203</v>
      </c>
      <c r="S205" s="15"/>
      <c r="T205" s="15"/>
      <c r="U205" s="15"/>
    </row>
    <row r="206" spans="1:21">
      <c r="A206" s="15"/>
      <c r="B206" s="15"/>
      <c r="C206" s="15"/>
      <c r="D206" s="15"/>
      <c r="E206" s="15"/>
      <c r="F206" s="15"/>
      <c r="G206" s="15"/>
      <c r="H206" s="15"/>
      <c r="J206" s="14" t="s">
        <v>194</v>
      </c>
      <c r="K206" s="15">
        <v>3.3</v>
      </c>
      <c r="L206" s="15">
        <v>23.79</v>
      </c>
      <c r="M206" s="15"/>
      <c r="N206" s="15">
        <v>4.78</v>
      </c>
      <c r="O206" s="15"/>
      <c r="P206" s="15">
        <v>2.66</v>
      </c>
      <c r="Q206" s="15"/>
      <c r="R206" s="106">
        <v>204</v>
      </c>
      <c r="S206" s="15"/>
      <c r="T206" s="15"/>
      <c r="U206" s="15"/>
    </row>
    <row r="207" spans="1:21">
      <c r="A207" s="15"/>
      <c r="B207" s="15"/>
      <c r="C207" s="15"/>
      <c r="D207" s="15"/>
      <c r="E207" s="15"/>
      <c r="F207" s="15"/>
      <c r="G207" s="15"/>
      <c r="H207" s="15"/>
      <c r="I207" s="4">
        <f t="shared" ref="I207" si="85">I195+1</f>
        <v>1880</v>
      </c>
      <c r="J207" s="14" t="s">
        <v>96</v>
      </c>
      <c r="K207" s="15">
        <v>3.39</v>
      </c>
      <c r="L207" s="15">
        <v>23.61</v>
      </c>
      <c r="M207" s="15"/>
      <c r="N207" s="15">
        <v>5.07</v>
      </c>
      <c r="O207" s="15"/>
      <c r="P207" s="15">
        <v>2.5</v>
      </c>
      <c r="Q207" s="15"/>
      <c r="R207" s="106">
        <v>205</v>
      </c>
      <c r="S207" s="15"/>
      <c r="T207" s="15"/>
      <c r="U207" s="15"/>
    </row>
    <row r="208" spans="1:21">
      <c r="A208" s="15"/>
      <c r="B208" s="15"/>
      <c r="C208" s="15"/>
      <c r="D208" s="15"/>
      <c r="E208" s="15"/>
      <c r="F208" s="15"/>
      <c r="G208" s="15"/>
      <c r="H208" s="15"/>
      <c r="J208" s="14" t="s">
        <v>97</v>
      </c>
      <c r="K208" s="15">
        <v>3.72</v>
      </c>
      <c r="L208" s="15">
        <v>23.23</v>
      </c>
      <c r="M208" s="15"/>
      <c r="N208" s="15">
        <v>7.22</v>
      </c>
      <c r="O208" s="15"/>
      <c r="P208" s="15">
        <v>2.5299999999999998</v>
      </c>
      <c r="Q208" s="15"/>
      <c r="R208" s="106">
        <v>206</v>
      </c>
      <c r="S208" s="15"/>
      <c r="T208" s="15"/>
      <c r="U208" s="15"/>
    </row>
    <row r="209" spans="1:21">
      <c r="A209" s="15"/>
      <c r="B209" s="15"/>
      <c r="C209" s="15"/>
      <c r="D209" s="15"/>
      <c r="E209" s="15"/>
      <c r="F209" s="15"/>
      <c r="G209" s="15"/>
      <c r="H209" s="15"/>
      <c r="J209" s="14" t="s">
        <v>130</v>
      </c>
      <c r="K209" s="15">
        <v>4.07</v>
      </c>
      <c r="L209" s="15">
        <v>23.17</v>
      </c>
      <c r="M209" s="15"/>
      <c r="N209" s="15">
        <v>7.14</v>
      </c>
      <c r="O209" s="15"/>
      <c r="P209" s="15">
        <v>2.2799999999999998</v>
      </c>
      <c r="Q209" s="15"/>
      <c r="R209" s="106">
        <v>207</v>
      </c>
      <c r="S209" s="15"/>
      <c r="T209" s="15"/>
      <c r="U209" s="15"/>
    </row>
    <row r="210" spans="1:21">
      <c r="A210" s="15"/>
      <c r="B210" s="15"/>
      <c r="C210" s="15"/>
      <c r="D210" s="15"/>
      <c r="E210" s="15"/>
      <c r="F210" s="15"/>
      <c r="G210" s="15"/>
      <c r="H210" s="15"/>
      <c r="J210" s="14" t="s">
        <v>131</v>
      </c>
      <c r="K210" s="15">
        <v>4.09</v>
      </c>
      <c r="L210" s="15">
        <v>22.89</v>
      </c>
      <c r="M210" s="15"/>
      <c r="N210" s="15">
        <v>7.32</v>
      </c>
      <c r="O210" s="15"/>
      <c r="P210" s="15">
        <v>2.04</v>
      </c>
      <c r="Q210" s="15"/>
      <c r="R210" s="106">
        <v>208</v>
      </c>
      <c r="S210" s="15"/>
      <c r="T210" s="15"/>
      <c r="U210" s="15"/>
    </row>
    <row r="211" spans="1:21">
      <c r="A211" s="15"/>
      <c r="B211" s="15"/>
      <c r="C211" s="15"/>
      <c r="D211" s="15"/>
      <c r="E211" s="15"/>
      <c r="F211" s="15"/>
      <c r="G211" s="15"/>
      <c r="H211" s="15"/>
      <c r="J211" s="14" t="s">
        <v>132</v>
      </c>
      <c r="K211" s="15">
        <v>3.6</v>
      </c>
      <c r="L211" s="15">
        <v>22.89</v>
      </c>
      <c r="M211" s="15"/>
      <c r="N211" s="15">
        <v>7.3</v>
      </c>
      <c r="O211" s="15"/>
      <c r="P211" s="15">
        <v>2.06</v>
      </c>
      <c r="Q211" s="15"/>
      <c r="R211" s="106">
        <v>209</v>
      </c>
      <c r="S211" s="15"/>
      <c r="T211" s="15"/>
      <c r="U211" s="15"/>
    </row>
    <row r="212" spans="1:21">
      <c r="A212" s="15"/>
      <c r="B212" s="15"/>
      <c r="C212" s="15"/>
      <c r="D212" s="15"/>
      <c r="E212" s="15"/>
      <c r="F212" s="15"/>
      <c r="G212" s="15"/>
      <c r="H212" s="15"/>
      <c r="J212" s="14" t="s">
        <v>133</v>
      </c>
      <c r="K212" s="15">
        <v>3.39</v>
      </c>
      <c r="L212" s="15">
        <v>22.77</v>
      </c>
      <c r="M212" s="15"/>
      <c r="N212" s="15">
        <v>7.63</v>
      </c>
      <c r="O212" s="15"/>
      <c r="P212" s="15">
        <v>3.33</v>
      </c>
      <c r="Q212" s="15"/>
      <c r="R212" s="106">
        <v>210</v>
      </c>
      <c r="S212" s="15"/>
      <c r="T212" s="15"/>
      <c r="U212" s="15"/>
    </row>
    <row r="213" spans="1:21">
      <c r="A213" s="15"/>
      <c r="B213" s="15"/>
      <c r="C213" s="15"/>
      <c r="D213" s="15"/>
      <c r="E213" s="15"/>
      <c r="F213" s="15"/>
      <c r="G213" s="15"/>
      <c r="H213" s="15"/>
      <c r="J213" s="14" t="s">
        <v>134</v>
      </c>
      <c r="K213" s="105">
        <f>K212+(K212*(RATE(($R$216-$R$212),0,K$212,-K$216)))</f>
        <v>3.5243056825043206</v>
      </c>
      <c r="L213" s="15">
        <v>20.61</v>
      </c>
      <c r="M213" s="15"/>
      <c r="N213" s="15">
        <v>7.58</v>
      </c>
      <c r="O213" s="15"/>
      <c r="P213" s="15">
        <v>1.97</v>
      </c>
      <c r="Q213" s="15"/>
      <c r="R213" s="106">
        <v>211</v>
      </c>
      <c r="S213" s="15"/>
      <c r="T213" s="15"/>
      <c r="U213" s="15"/>
    </row>
    <row r="214" spans="1:21">
      <c r="A214" s="15"/>
      <c r="B214" s="15"/>
      <c r="C214" s="15"/>
      <c r="D214" s="15"/>
      <c r="E214" s="15"/>
      <c r="F214" s="15"/>
      <c r="G214" s="15"/>
      <c r="H214" s="15"/>
      <c r="J214" s="14" t="s">
        <v>135</v>
      </c>
      <c r="K214" s="105">
        <f>K213+(K213*(RATE(($R$216-$R$212),0,K$212,-K$216)))</f>
        <v>3.663932313785323</v>
      </c>
      <c r="L214" s="105">
        <f>L213+(L213*(RATE(($R$218-$R$213),0,L$213,-L$218)))</f>
        <v>20.420548927816188</v>
      </c>
      <c r="M214" s="15"/>
      <c r="N214" s="15">
        <v>8.18</v>
      </c>
      <c r="O214" s="15"/>
      <c r="P214" s="15">
        <v>1.93</v>
      </c>
      <c r="Q214" s="15"/>
      <c r="R214" s="106">
        <v>212</v>
      </c>
      <c r="S214" s="15"/>
      <c r="T214" s="15"/>
      <c r="U214" s="15"/>
    </row>
    <row r="215" spans="1:21">
      <c r="A215" s="15"/>
      <c r="B215" s="15"/>
      <c r="C215" s="15"/>
      <c r="D215" s="15"/>
      <c r="E215" s="15"/>
      <c r="F215" s="15"/>
      <c r="G215" s="15"/>
      <c r="H215" s="15"/>
      <c r="J215" s="14" t="s">
        <v>136</v>
      </c>
      <c r="K215" s="105">
        <f>K214+(K214*(RATE(($R$216-$R$212),0,K$212,-K$216)))</f>
        <v>3.8090907002315095</v>
      </c>
      <c r="L215" s="105">
        <f t="shared" ref="L215:L217" si="86">L214+(L214*(RATE(($R$218-$R$213),0,L$213,-L$218)))</f>
        <v>20.232839326217121</v>
      </c>
      <c r="M215" s="15"/>
      <c r="N215" s="15">
        <v>8.44</v>
      </c>
      <c r="O215" s="15"/>
      <c r="P215" s="15">
        <v>1.89</v>
      </c>
      <c r="Q215" s="15"/>
      <c r="R215" s="106">
        <v>213</v>
      </c>
      <c r="S215" s="15"/>
      <c r="T215" s="15"/>
      <c r="U215" s="15"/>
    </row>
    <row r="216" spans="1:21">
      <c r="A216" s="15"/>
      <c r="B216" s="15"/>
      <c r="C216" s="15"/>
      <c r="D216" s="15"/>
      <c r="E216" s="15"/>
      <c r="F216" s="15"/>
      <c r="G216" s="15"/>
      <c r="H216" s="15"/>
      <c r="J216" s="14" t="s">
        <v>192</v>
      </c>
      <c r="K216" s="15">
        <v>3.96</v>
      </c>
      <c r="L216" s="105">
        <f t="shared" si="86"/>
        <v>20.046855187271241</v>
      </c>
      <c r="M216" s="15"/>
      <c r="N216" s="15">
        <v>8.6</v>
      </c>
      <c r="O216" s="15"/>
      <c r="P216" s="15">
        <v>2.0499999999999998</v>
      </c>
      <c r="Q216" s="15"/>
      <c r="R216" s="106">
        <v>214</v>
      </c>
      <c r="S216" s="15"/>
      <c r="T216" s="15"/>
      <c r="U216" s="15"/>
    </row>
    <row r="217" spans="1:21">
      <c r="A217" s="15"/>
      <c r="B217" s="15"/>
      <c r="C217" s="15"/>
      <c r="D217" s="15"/>
      <c r="E217" s="15"/>
      <c r="F217" s="15"/>
      <c r="G217" s="15"/>
      <c r="H217" s="15"/>
      <c r="J217" s="14" t="s">
        <v>193</v>
      </c>
      <c r="K217" s="15">
        <v>4.1500000000000004</v>
      </c>
      <c r="L217" s="105">
        <f t="shared" si="86"/>
        <v>19.86258065019496</v>
      </c>
      <c r="M217" s="15"/>
      <c r="N217" s="15">
        <v>7.65</v>
      </c>
      <c r="O217" s="15"/>
      <c r="P217" s="15">
        <v>2.27</v>
      </c>
      <c r="Q217" s="15"/>
      <c r="R217" s="106">
        <v>215</v>
      </c>
      <c r="S217" s="15"/>
      <c r="T217" s="15"/>
      <c r="U217" s="15"/>
    </row>
    <row r="218" spans="1:21">
      <c r="A218" s="15"/>
      <c r="B218" s="15"/>
      <c r="C218" s="15"/>
      <c r="D218" s="15"/>
      <c r="E218" s="15"/>
      <c r="F218" s="15"/>
      <c r="G218" s="15"/>
      <c r="H218" s="15"/>
      <c r="J218" s="14" t="s">
        <v>194</v>
      </c>
      <c r="K218" s="15">
        <v>3.81</v>
      </c>
      <c r="L218" s="15">
        <v>19.68</v>
      </c>
      <c r="M218" s="15"/>
      <c r="N218" s="15">
        <v>4.51</v>
      </c>
      <c r="O218" s="15"/>
      <c r="P218" s="15">
        <v>2.12</v>
      </c>
      <c r="Q218" s="15"/>
      <c r="R218" s="106">
        <v>216</v>
      </c>
      <c r="S218" s="15"/>
      <c r="T218" s="15"/>
      <c r="U218" s="15"/>
    </row>
    <row r="219" spans="1:21">
      <c r="A219" s="15"/>
      <c r="B219" s="15"/>
      <c r="C219" s="15"/>
      <c r="D219" s="15"/>
      <c r="E219" s="15"/>
      <c r="F219" s="15"/>
      <c r="G219" s="15"/>
      <c r="H219" s="15"/>
      <c r="I219" s="4">
        <f t="shared" ref="I219" si="87">I207+1</f>
        <v>1881</v>
      </c>
      <c r="J219" s="14" t="s">
        <v>96</v>
      </c>
      <c r="K219" s="15">
        <v>3.79</v>
      </c>
      <c r="L219" s="15">
        <v>20.28</v>
      </c>
      <c r="M219" s="15"/>
      <c r="N219" s="15">
        <v>5.01</v>
      </c>
      <c r="O219" s="15"/>
      <c r="P219" s="15">
        <v>1.76</v>
      </c>
      <c r="Q219" s="15"/>
      <c r="R219" s="106">
        <v>217</v>
      </c>
      <c r="S219" s="15"/>
      <c r="T219" s="15"/>
      <c r="U219" s="15"/>
    </row>
    <row r="220" spans="1:21">
      <c r="A220" s="15"/>
      <c r="B220" s="15"/>
      <c r="C220" s="15"/>
      <c r="D220" s="15"/>
      <c r="E220" s="15"/>
      <c r="F220" s="15"/>
      <c r="G220" s="15"/>
      <c r="H220" s="15"/>
      <c r="J220" s="14" t="s">
        <v>97</v>
      </c>
      <c r="K220" s="15">
        <v>3.34</v>
      </c>
      <c r="L220" s="15">
        <v>20.190000000000001</v>
      </c>
      <c r="M220" s="15"/>
      <c r="N220" s="15">
        <v>5.58</v>
      </c>
      <c r="O220" s="15"/>
      <c r="P220" s="15">
        <v>1.61</v>
      </c>
      <c r="Q220" s="15"/>
      <c r="R220" s="106">
        <v>218</v>
      </c>
      <c r="S220" s="15"/>
      <c r="T220" s="15"/>
      <c r="U220" s="15"/>
    </row>
    <row r="221" spans="1:21">
      <c r="A221" s="15"/>
      <c r="B221" s="15"/>
      <c r="C221" s="15"/>
      <c r="D221" s="15"/>
      <c r="E221" s="15"/>
      <c r="F221" s="15"/>
      <c r="G221" s="15"/>
      <c r="H221" s="15"/>
      <c r="J221" s="14" t="s">
        <v>130</v>
      </c>
      <c r="K221" s="15">
        <v>3.43</v>
      </c>
      <c r="L221" s="15">
        <v>20.82</v>
      </c>
      <c r="M221" s="15"/>
      <c r="N221" s="15">
        <v>6.23</v>
      </c>
      <c r="O221" s="15"/>
      <c r="P221" s="15">
        <v>1.82</v>
      </c>
      <c r="Q221" s="15"/>
      <c r="R221" s="106">
        <v>219</v>
      </c>
      <c r="S221" s="15"/>
      <c r="T221" s="15"/>
      <c r="U221" s="15"/>
    </row>
    <row r="222" spans="1:21">
      <c r="A222" s="15"/>
      <c r="B222" s="15"/>
      <c r="C222" s="15"/>
      <c r="D222" s="15"/>
      <c r="E222" s="15"/>
      <c r="F222" s="15"/>
      <c r="G222" s="15"/>
      <c r="H222" s="15"/>
      <c r="J222" s="14" t="s">
        <v>131</v>
      </c>
      <c r="K222" s="15">
        <v>3.48</v>
      </c>
      <c r="L222" s="15">
        <v>19.87</v>
      </c>
      <c r="M222" s="15"/>
      <c r="N222" s="15">
        <v>6.44</v>
      </c>
      <c r="O222" s="15"/>
      <c r="P222" s="15">
        <v>1.77</v>
      </c>
      <c r="Q222" s="15"/>
      <c r="R222" s="106">
        <v>220</v>
      </c>
      <c r="S222" s="15"/>
      <c r="T222" s="15"/>
      <c r="U222" s="15"/>
    </row>
    <row r="223" spans="1:21">
      <c r="A223" s="15"/>
      <c r="B223" s="15"/>
      <c r="C223" s="15"/>
      <c r="D223" s="15"/>
      <c r="E223" s="15"/>
      <c r="F223" s="15"/>
      <c r="G223" s="15"/>
      <c r="H223" s="15"/>
      <c r="J223" s="14" t="s">
        <v>132</v>
      </c>
      <c r="K223" s="15">
        <v>3.19</v>
      </c>
      <c r="L223" s="15">
        <v>19.12</v>
      </c>
      <c r="M223" s="15"/>
      <c r="N223" s="15">
        <v>7.06</v>
      </c>
      <c r="O223" s="15"/>
      <c r="P223" s="15">
        <v>1.69</v>
      </c>
      <c r="Q223" s="15"/>
      <c r="R223" s="106">
        <v>221</v>
      </c>
      <c r="S223" s="15"/>
      <c r="T223" s="15"/>
      <c r="U223" s="15"/>
    </row>
    <row r="224" spans="1:21">
      <c r="A224" s="15"/>
      <c r="B224" s="15"/>
      <c r="C224" s="15"/>
      <c r="D224" s="15"/>
      <c r="E224" s="15"/>
      <c r="F224" s="15"/>
      <c r="G224" s="15"/>
      <c r="H224" s="15"/>
      <c r="J224" s="14" t="s">
        <v>133</v>
      </c>
      <c r="K224" s="15">
        <v>3.24</v>
      </c>
      <c r="L224" s="15">
        <v>19.34</v>
      </c>
      <c r="M224" s="15"/>
      <c r="N224" s="15">
        <v>7.54</v>
      </c>
      <c r="O224" s="15"/>
      <c r="P224" s="15">
        <v>1.73</v>
      </c>
      <c r="Q224" s="15"/>
      <c r="R224" s="106">
        <v>222</v>
      </c>
      <c r="S224" s="15"/>
      <c r="T224" s="15"/>
      <c r="U224" s="15"/>
    </row>
    <row r="225" spans="1:21">
      <c r="A225" s="15"/>
      <c r="B225" s="15"/>
      <c r="C225" s="15"/>
      <c r="D225" s="15"/>
      <c r="E225" s="15"/>
      <c r="F225" s="15"/>
      <c r="G225" s="15"/>
      <c r="H225" s="15"/>
      <c r="J225" s="14" t="s">
        <v>134</v>
      </c>
      <c r="K225" s="15">
        <v>3.21</v>
      </c>
      <c r="L225" s="15">
        <v>19.34</v>
      </c>
      <c r="M225" s="15"/>
      <c r="N225" s="15">
        <v>8.0299999999999994</v>
      </c>
      <c r="O225" s="15"/>
      <c r="P225" s="15">
        <v>1.81</v>
      </c>
      <c r="Q225" s="15"/>
      <c r="R225" s="106">
        <v>223</v>
      </c>
      <c r="S225" s="15"/>
      <c r="T225" s="15"/>
      <c r="U225" s="15"/>
    </row>
    <row r="226" spans="1:21">
      <c r="A226" s="15"/>
      <c r="B226" s="15"/>
      <c r="C226" s="15"/>
      <c r="D226" s="15"/>
      <c r="E226" s="15"/>
      <c r="F226" s="15"/>
      <c r="G226" s="15"/>
      <c r="H226" s="15"/>
      <c r="J226" s="14" t="s">
        <v>135</v>
      </c>
      <c r="K226" s="15">
        <v>2.97</v>
      </c>
      <c r="L226" s="15">
        <v>19.34</v>
      </c>
      <c r="M226" s="15"/>
      <c r="N226" s="15">
        <v>7.07</v>
      </c>
      <c r="O226" s="15"/>
      <c r="P226" s="15">
        <v>1.81</v>
      </c>
      <c r="Q226" s="15"/>
      <c r="R226" s="106">
        <v>224</v>
      </c>
      <c r="S226" s="15"/>
      <c r="T226" s="15"/>
      <c r="U226" s="15"/>
    </row>
    <row r="227" spans="1:21">
      <c r="A227" s="15"/>
      <c r="B227" s="15"/>
      <c r="C227" s="15"/>
      <c r="D227" s="15"/>
      <c r="E227" s="15"/>
      <c r="F227" s="15"/>
      <c r="G227" s="15"/>
      <c r="H227" s="15"/>
      <c r="J227" s="14" t="s">
        <v>136</v>
      </c>
      <c r="K227" s="15">
        <v>2.98</v>
      </c>
      <c r="L227" s="15">
        <v>19.34</v>
      </c>
      <c r="M227" s="15"/>
      <c r="N227" s="15">
        <v>6.65</v>
      </c>
      <c r="O227" s="15"/>
      <c r="P227" s="15">
        <v>2.0499999999999998</v>
      </c>
      <c r="Q227" s="15"/>
      <c r="R227" s="106">
        <v>225</v>
      </c>
      <c r="S227" s="15"/>
      <c r="T227" s="15"/>
      <c r="U227" s="15"/>
    </row>
    <row r="228" spans="1:21">
      <c r="A228" s="15"/>
      <c r="B228" s="15"/>
      <c r="C228" s="15"/>
      <c r="D228" s="15"/>
      <c r="E228" s="15"/>
      <c r="F228" s="15"/>
      <c r="G228" s="15"/>
      <c r="H228" s="15"/>
      <c r="J228" s="14" t="s">
        <v>192</v>
      </c>
      <c r="K228" s="105">
        <f>K227+(K227*(RATE(($R$230-$R$227),0,K$227,-K$230)))</f>
        <v>3.0830612729678917</v>
      </c>
      <c r="L228" s="105">
        <f>L227+(L227*(RATE(($R$230-$R$227),0,L$227,-L$230)))</f>
        <v>22.370372653068781</v>
      </c>
      <c r="M228" s="15"/>
      <c r="N228" s="105">
        <f>N227+(N227*(RATE(($R$230-$R$227),0,N$227,-N$230)))</f>
        <v>6.1028889836060838</v>
      </c>
      <c r="O228" s="15"/>
      <c r="P228" s="105">
        <f>P227+(P227*(RATE(($R$230-$R$227),0,P$227,-P$230)))</f>
        <v>2.0263959282178066</v>
      </c>
      <c r="Q228" s="15"/>
      <c r="R228" s="106">
        <v>226</v>
      </c>
      <c r="S228" s="15"/>
      <c r="T228" s="15"/>
      <c r="U228" s="15"/>
    </row>
    <row r="229" spans="1:21">
      <c r="A229" s="15"/>
      <c r="B229" s="15"/>
      <c r="C229" s="15"/>
      <c r="D229" s="15"/>
      <c r="E229" s="15"/>
      <c r="F229" s="15"/>
      <c r="G229" s="15"/>
      <c r="H229" s="15"/>
      <c r="J229" s="14" t="s">
        <v>193</v>
      </c>
      <c r="K229" s="105">
        <f>K228+(K228*(RATE(($R$230-$R$227),0,K$227,-K$230)))</f>
        <v>3.1896868499578517</v>
      </c>
      <c r="L229" s="105">
        <f>L228+(L228*(RATE(($R$230-$R$227),0,L$227,-L$230)))</f>
        <v>25.875572525189636</v>
      </c>
      <c r="M229" s="15"/>
      <c r="N229" s="105">
        <f>N228+(N228*(RATE(($R$230-$R$227),0,N$227,-N$230)))</f>
        <v>5.6007900671008262</v>
      </c>
      <c r="O229" s="15"/>
      <c r="P229" s="105">
        <f>P228+(P228*(RATE(($R$230-$R$227),0,P$227,-P$230)))</f>
        <v>2.0030636379988813</v>
      </c>
      <c r="Q229" s="15"/>
      <c r="R229" s="106">
        <v>227</v>
      </c>
      <c r="S229" s="15"/>
      <c r="T229" s="15"/>
      <c r="U229" s="15"/>
    </row>
    <row r="230" spans="1:21">
      <c r="A230" s="15"/>
      <c r="B230" s="15"/>
      <c r="C230" s="15"/>
      <c r="D230" s="15"/>
      <c r="E230" s="15"/>
      <c r="F230" s="15"/>
      <c r="G230" s="15"/>
      <c r="H230" s="15"/>
      <c r="J230" s="14" t="s">
        <v>194</v>
      </c>
      <c r="K230" s="15">
        <v>3.3</v>
      </c>
      <c r="L230" s="15">
        <v>29.93</v>
      </c>
      <c r="M230" s="15"/>
      <c r="N230" s="15">
        <v>5.14</v>
      </c>
      <c r="O230" s="15"/>
      <c r="P230" s="15">
        <v>1.98</v>
      </c>
      <c r="Q230" s="15"/>
      <c r="R230" s="106">
        <v>228</v>
      </c>
      <c r="S230" s="15"/>
      <c r="T230" s="15"/>
      <c r="U230" s="15"/>
    </row>
    <row r="231" spans="1:21">
      <c r="A231" s="15"/>
      <c r="B231" s="15"/>
      <c r="C231" s="15"/>
      <c r="D231" s="15"/>
      <c r="E231" s="15"/>
      <c r="F231" s="15"/>
      <c r="G231" s="15"/>
      <c r="H231" s="15"/>
      <c r="I231" s="4">
        <f t="shared" ref="I231" si="88">I219+1</f>
        <v>1882</v>
      </c>
      <c r="J231" s="14" t="s">
        <v>96</v>
      </c>
      <c r="K231" s="15">
        <v>3.31</v>
      </c>
      <c r="L231" s="15">
        <v>20.41</v>
      </c>
      <c r="M231" s="15"/>
      <c r="N231" s="15">
        <v>6.5</v>
      </c>
      <c r="O231" s="15"/>
      <c r="P231" s="15">
        <v>1.78</v>
      </c>
      <c r="Q231" s="15"/>
      <c r="R231" s="106">
        <v>229</v>
      </c>
      <c r="S231" s="15"/>
      <c r="T231" s="15"/>
      <c r="U231" s="15"/>
    </row>
    <row r="232" spans="1:21">
      <c r="A232" s="15"/>
      <c r="B232" s="15"/>
      <c r="C232" s="15"/>
      <c r="D232" s="15"/>
      <c r="E232" s="15"/>
      <c r="F232" s="15"/>
      <c r="G232" s="15"/>
      <c r="H232" s="15"/>
      <c r="J232" s="14" t="s">
        <v>97</v>
      </c>
      <c r="K232" s="15">
        <v>3.35</v>
      </c>
      <c r="L232" s="15">
        <v>20.16</v>
      </c>
      <c r="M232" s="15"/>
      <c r="N232" s="15">
        <v>6.25</v>
      </c>
      <c r="O232" s="15"/>
      <c r="P232" s="15">
        <v>1.7</v>
      </c>
      <c r="Q232" s="15"/>
      <c r="R232" s="106">
        <v>230</v>
      </c>
      <c r="S232" s="15"/>
      <c r="T232" s="15"/>
      <c r="U232" s="15"/>
    </row>
    <row r="233" spans="1:21">
      <c r="A233" s="15"/>
      <c r="B233" s="15"/>
      <c r="C233" s="15"/>
      <c r="D233" s="15"/>
      <c r="E233" s="15"/>
      <c r="F233" s="15"/>
      <c r="G233" s="15"/>
      <c r="H233" s="15"/>
      <c r="J233" s="14" t="s">
        <v>130</v>
      </c>
      <c r="K233" s="15">
        <v>3.48</v>
      </c>
      <c r="L233" s="15">
        <v>20.399999999999999</v>
      </c>
      <c r="M233" s="15">
        <v>12.75</v>
      </c>
      <c r="N233" s="15">
        <v>6.65</v>
      </c>
      <c r="O233" s="15"/>
      <c r="P233" s="15">
        <v>1.7</v>
      </c>
      <c r="Q233" s="15"/>
      <c r="R233" s="106">
        <v>231</v>
      </c>
      <c r="S233" s="15"/>
      <c r="T233" s="15"/>
      <c r="U233" s="15"/>
    </row>
    <row r="234" spans="1:21">
      <c r="A234" s="15"/>
      <c r="B234" s="15"/>
      <c r="C234" s="15"/>
      <c r="D234" s="15"/>
      <c r="E234" s="15"/>
      <c r="F234" s="15"/>
      <c r="G234" s="15"/>
      <c r="H234" s="15"/>
      <c r="J234" s="14" t="s">
        <v>131</v>
      </c>
      <c r="K234" s="15">
        <v>3.61</v>
      </c>
      <c r="L234" s="15">
        <v>20.03</v>
      </c>
      <c r="M234" s="15">
        <v>11.87</v>
      </c>
      <c r="N234" s="15">
        <v>6.2</v>
      </c>
      <c r="O234" s="15"/>
      <c r="P234" s="15">
        <v>1.67</v>
      </c>
      <c r="Q234" s="15"/>
      <c r="R234" s="106">
        <v>232</v>
      </c>
      <c r="S234" s="15"/>
      <c r="T234" s="15"/>
      <c r="U234" s="15"/>
    </row>
    <row r="235" spans="1:21">
      <c r="A235" s="15"/>
      <c r="B235" s="15"/>
      <c r="C235" s="15"/>
      <c r="D235" s="15"/>
      <c r="E235" s="15"/>
      <c r="F235" s="15"/>
      <c r="G235" s="15"/>
      <c r="H235" s="15"/>
      <c r="J235" s="14" t="s">
        <v>132</v>
      </c>
      <c r="K235" s="15">
        <v>3.57</v>
      </c>
      <c r="L235" s="15">
        <v>19.600000000000001</v>
      </c>
      <c r="M235" s="15">
        <v>10</v>
      </c>
      <c r="N235" s="15">
        <v>5.7</v>
      </c>
      <c r="O235" s="15"/>
      <c r="P235" s="15">
        <v>1.73</v>
      </c>
      <c r="Q235" s="15"/>
      <c r="R235" s="106">
        <v>233</v>
      </c>
      <c r="S235" s="15"/>
      <c r="T235" s="15"/>
      <c r="U235" s="15"/>
    </row>
    <row r="236" spans="1:21">
      <c r="A236" s="15"/>
      <c r="B236" s="15"/>
      <c r="C236" s="15"/>
      <c r="D236" s="15"/>
      <c r="E236" s="15"/>
      <c r="F236" s="15"/>
      <c r="G236" s="15"/>
      <c r="H236" s="15"/>
      <c r="J236" s="14" t="s">
        <v>133</v>
      </c>
      <c r="K236" s="105">
        <f>K235+(K235*(RATE(($R$239-$R$235),0,K$235,-K$239)))</f>
        <v>3.5472841065646779</v>
      </c>
      <c r="L236" s="15">
        <v>20.190000000000001</v>
      </c>
      <c r="M236" s="15">
        <v>9.5</v>
      </c>
      <c r="N236" s="15">
        <v>5.54</v>
      </c>
      <c r="O236" s="15"/>
      <c r="P236" s="15">
        <v>1.96</v>
      </c>
      <c r="Q236" s="15"/>
      <c r="R236" s="106">
        <v>234</v>
      </c>
      <c r="S236" s="15"/>
      <c r="T236" s="15"/>
      <c r="U236" s="15"/>
    </row>
    <row r="237" spans="1:21">
      <c r="A237" s="15"/>
      <c r="B237" s="15"/>
      <c r="C237" s="15"/>
      <c r="D237" s="15"/>
      <c r="E237" s="15"/>
      <c r="F237" s="15"/>
      <c r="G237" s="15"/>
      <c r="H237" s="15"/>
      <c r="J237" s="14" t="s">
        <v>134</v>
      </c>
      <c r="K237" s="105">
        <f>K236+(K236*(RATE(($R$239-$R$235),0,K$235,-K$239)))</f>
        <v>3.5247127542538834</v>
      </c>
      <c r="L237" s="15">
        <v>20.190000000000001</v>
      </c>
      <c r="M237" s="15">
        <v>10.5</v>
      </c>
      <c r="N237" s="15">
        <v>4.96</v>
      </c>
      <c r="O237" s="15"/>
      <c r="P237" s="15">
        <v>2.1</v>
      </c>
      <c r="Q237" s="15"/>
      <c r="R237" s="106">
        <v>235</v>
      </c>
      <c r="S237" s="15"/>
      <c r="T237" s="15"/>
      <c r="U237" s="15"/>
    </row>
    <row r="238" spans="1:21">
      <c r="A238" s="15"/>
      <c r="B238" s="15"/>
      <c r="C238" s="15"/>
      <c r="D238" s="15"/>
      <c r="E238" s="15"/>
      <c r="F238" s="15"/>
      <c r="G238" s="15"/>
      <c r="H238" s="15"/>
      <c r="J238" s="14" t="s">
        <v>135</v>
      </c>
      <c r="K238" s="105">
        <f>K237+(K237*(RATE(($R$239-$R$235),0,K$235,-K$239)))</f>
        <v>3.5022850233531124</v>
      </c>
      <c r="L238" s="105">
        <f>L237+(L237*(RATE(($R$242-$R$237),0,L$237,-L$242)))</f>
        <v>20.388075226101108</v>
      </c>
      <c r="M238" s="15">
        <v>12</v>
      </c>
      <c r="N238" s="15">
        <v>4.9000000000000004</v>
      </c>
      <c r="O238" s="15"/>
      <c r="P238" s="15">
        <v>2.34</v>
      </c>
      <c r="Q238" s="15"/>
      <c r="R238" s="106">
        <v>236</v>
      </c>
      <c r="S238" s="15"/>
      <c r="T238" s="15"/>
      <c r="U238" s="15"/>
    </row>
    <row r="239" spans="1:21">
      <c r="A239" s="15"/>
      <c r="B239" s="15"/>
      <c r="C239" s="15"/>
      <c r="D239" s="15"/>
      <c r="E239" s="15"/>
      <c r="F239" s="15"/>
      <c r="G239" s="15"/>
      <c r="H239" s="15"/>
      <c r="J239" s="14" t="s">
        <v>136</v>
      </c>
      <c r="K239" s="15">
        <v>3.48</v>
      </c>
      <c r="L239" s="105">
        <f>L238+(L238*(RATE(($R$242-$R$237),0,L$237,-L$242)))</f>
        <v>20.58809368128567</v>
      </c>
      <c r="M239" s="15">
        <v>11.5</v>
      </c>
      <c r="N239" s="15">
        <v>4.95</v>
      </c>
      <c r="O239" s="15"/>
      <c r="P239" s="15">
        <v>2.13</v>
      </c>
      <c r="Q239" s="15"/>
      <c r="R239" s="106">
        <v>237</v>
      </c>
      <c r="S239" s="15"/>
      <c r="T239" s="15"/>
      <c r="U239" s="15"/>
    </row>
    <row r="240" spans="1:21">
      <c r="A240" s="15"/>
      <c r="B240" s="15"/>
      <c r="C240" s="15"/>
      <c r="D240" s="15"/>
      <c r="E240" s="15"/>
      <c r="F240" s="15"/>
      <c r="G240" s="15"/>
      <c r="H240" s="15"/>
      <c r="J240" s="14" t="s">
        <v>192</v>
      </c>
      <c r="K240" s="15">
        <v>3.48</v>
      </c>
      <c r="L240" s="105">
        <f>L239+(L239*(RATE(($R$242-$R$237),0,L$237,-L$242)))</f>
        <v>20.790074429721106</v>
      </c>
      <c r="M240" s="15">
        <v>11</v>
      </c>
      <c r="N240" s="15">
        <v>4.8</v>
      </c>
      <c r="O240" s="15"/>
      <c r="P240" s="15">
        <v>2.23</v>
      </c>
      <c r="Q240" s="15"/>
      <c r="R240" s="106">
        <v>238</v>
      </c>
      <c r="S240" s="15"/>
      <c r="T240" s="15"/>
      <c r="U240" s="15"/>
    </row>
    <row r="241" spans="1:21">
      <c r="A241" s="15"/>
      <c r="B241" s="15"/>
      <c r="C241" s="15"/>
      <c r="D241" s="15"/>
      <c r="E241" s="15"/>
      <c r="F241" s="15"/>
      <c r="G241" s="15"/>
      <c r="H241" s="15"/>
      <c r="J241" s="14" t="s">
        <v>193</v>
      </c>
      <c r="K241" s="15">
        <v>3.57</v>
      </c>
      <c r="L241" s="105">
        <f>L240+(L240*(RATE(($R$242-$R$237),0,L$237,-L$242)))</f>
        <v>20.994036722604999</v>
      </c>
      <c r="M241" s="15">
        <v>10.75</v>
      </c>
      <c r="N241" s="15">
        <v>4</v>
      </c>
      <c r="O241" s="15"/>
      <c r="P241" s="15">
        <v>2.35</v>
      </c>
      <c r="Q241" s="15"/>
      <c r="R241" s="106">
        <v>239</v>
      </c>
      <c r="S241" s="15"/>
      <c r="T241" s="15"/>
      <c r="U241" s="15"/>
    </row>
    <row r="242" spans="1:21">
      <c r="A242" s="15"/>
      <c r="B242" s="15"/>
      <c r="C242" s="15"/>
      <c r="D242" s="15"/>
      <c r="E242" s="15"/>
      <c r="F242" s="15"/>
      <c r="G242" s="15"/>
      <c r="H242" s="15"/>
      <c r="J242" s="14" t="s">
        <v>194</v>
      </c>
      <c r="K242" s="15">
        <v>3.66</v>
      </c>
      <c r="L242" s="15">
        <v>21.2</v>
      </c>
      <c r="M242" s="15">
        <v>10.75</v>
      </c>
      <c r="N242" s="15">
        <v>4</v>
      </c>
      <c r="O242" s="15"/>
      <c r="P242" s="15">
        <v>2.66</v>
      </c>
      <c r="Q242" s="15"/>
      <c r="R242" s="106">
        <v>240</v>
      </c>
      <c r="S242" s="15"/>
      <c r="T242" s="15"/>
      <c r="U242" s="15"/>
    </row>
    <row r="243" spans="1:21">
      <c r="A243" s="15"/>
      <c r="B243" s="15"/>
      <c r="C243" s="15"/>
      <c r="D243" s="15"/>
      <c r="E243" s="15"/>
      <c r="F243" s="15"/>
      <c r="G243" s="15"/>
      <c r="H243" s="15"/>
      <c r="I243" s="4">
        <f t="shared" ref="I243" si="89">I231+1</f>
        <v>1883</v>
      </c>
      <c r="J243" s="14" t="s">
        <v>96</v>
      </c>
      <c r="K243" s="15">
        <v>3.57</v>
      </c>
      <c r="L243" s="15">
        <v>21.04</v>
      </c>
      <c r="M243" s="15">
        <v>10.25</v>
      </c>
      <c r="N243" s="15">
        <v>3.8</v>
      </c>
      <c r="O243" s="15"/>
      <c r="P243" s="15">
        <v>2.66</v>
      </c>
      <c r="Q243" s="15"/>
      <c r="R243" s="106">
        <v>241</v>
      </c>
      <c r="S243" s="15"/>
      <c r="T243" s="15"/>
      <c r="U243" s="15"/>
    </row>
    <row r="244" spans="1:21">
      <c r="A244" s="15"/>
      <c r="B244" s="15"/>
      <c r="C244" s="15"/>
      <c r="D244" s="15"/>
      <c r="E244" s="15"/>
      <c r="F244" s="15"/>
      <c r="G244" s="15"/>
      <c r="H244" s="15"/>
      <c r="J244" s="14" t="s">
        <v>97</v>
      </c>
      <c r="K244" s="15">
        <v>3.48</v>
      </c>
      <c r="L244" s="15">
        <v>21.25</v>
      </c>
      <c r="M244" s="15">
        <v>10.38</v>
      </c>
      <c r="N244" s="15">
        <v>3.7</v>
      </c>
      <c r="O244" s="15"/>
      <c r="P244" s="15">
        <v>2.4700000000000002</v>
      </c>
      <c r="Q244" s="15"/>
      <c r="R244" s="106">
        <v>242</v>
      </c>
      <c r="S244" s="15"/>
      <c r="T244" s="15"/>
      <c r="U244" s="15"/>
    </row>
    <row r="245" spans="1:21">
      <c r="A245" s="15"/>
      <c r="B245" s="15"/>
      <c r="C245" s="15"/>
      <c r="D245" s="15"/>
      <c r="E245" s="15"/>
      <c r="F245" s="15"/>
      <c r="G245" s="15"/>
      <c r="H245" s="15"/>
      <c r="J245" s="14" t="s">
        <v>130</v>
      </c>
      <c r="K245" s="15">
        <v>3.48</v>
      </c>
      <c r="L245" s="15">
        <v>21.9</v>
      </c>
      <c r="M245" s="15">
        <v>11.25</v>
      </c>
      <c r="N245" s="15">
        <v>3.65</v>
      </c>
      <c r="O245" s="15"/>
      <c r="P245" s="15">
        <v>2.04</v>
      </c>
      <c r="Q245" s="15"/>
      <c r="R245" s="106">
        <v>243</v>
      </c>
      <c r="S245" s="15"/>
      <c r="T245" s="15"/>
      <c r="U245" s="15"/>
    </row>
    <row r="246" spans="1:21">
      <c r="A246" s="15"/>
      <c r="B246" s="15"/>
      <c r="C246" s="15"/>
      <c r="D246" s="15"/>
      <c r="E246" s="15"/>
      <c r="F246" s="15"/>
      <c r="G246" s="15"/>
      <c r="H246" s="15"/>
      <c r="J246" s="14" t="s">
        <v>131</v>
      </c>
      <c r="K246" s="15">
        <v>3.44</v>
      </c>
      <c r="L246" s="15">
        <v>21.36</v>
      </c>
      <c r="M246" s="15">
        <v>11</v>
      </c>
      <c r="N246" s="15">
        <v>3.56</v>
      </c>
      <c r="O246" s="15"/>
      <c r="P246" s="15">
        <v>2.09</v>
      </c>
      <c r="Q246" s="15"/>
      <c r="R246" s="106">
        <v>244</v>
      </c>
      <c r="S246" s="15"/>
      <c r="T246" s="15"/>
      <c r="U246" s="15"/>
    </row>
    <row r="247" spans="1:21">
      <c r="A247" s="15"/>
      <c r="B247" s="15"/>
      <c r="C247" s="15"/>
      <c r="D247" s="15"/>
      <c r="E247" s="15"/>
      <c r="F247" s="15"/>
      <c r="G247" s="15"/>
      <c r="H247" s="15"/>
      <c r="J247" s="14" t="s">
        <v>132</v>
      </c>
      <c r="K247" s="15">
        <v>3.4</v>
      </c>
      <c r="L247" s="15">
        <v>21.55</v>
      </c>
      <c r="M247" s="15">
        <v>10.75</v>
      </c>
      <c r="N247" s="15">
        <v>3.5</v>
      </c>
      <c r="O247" s="15"/>
      <c r="P247" s="15">
        <v>2.02</v>
      </c>
      <c r="Q247" s="15"/>
      <c r="R247" s="106">
        <v>245</v>
      </c>
      <c r="S247" s="15"/>
      <c r="T247" s="15"/>
      <c r="U247" s="15"/>
    </row>
    <row r="248" spans="1:21">
      <c r="A248" s="15"/>
      <c r="B248" s="15"/>
      <c r="C248" s="15"/>
      <c r="D248" s="15"/>
      <c r="E248" s="15"/>
      <c r="F248" s="15"/>
      <c r="G248" s="15"/>
      <c r="H248" s="15"/>
      <c r="J248" s="14" t="s">
        <v>133</v>
      </c>
      <c r="K248" s="15">
        <v>3.4</v>
      </c>
      <c r="L248" s="15">
        <v>21.62</v>
      </c>
      <c r="M248" s="15">
        <v>13</v>
      </c>
      <c r="N248" s="15">
        <v>3.56</v>
      </c>
      <c r="O248" s="15"/>
      <c r="P248" s="15">
        <v>2.12</v>
      </c>
      <c r="Q248" s="15"/>
      <c r="R248" s="106">
        <v>246</v>
      </c>
      <c r="S248" s="15"/>
      <c r="T248" s="15"/>
      <c r="U248" s="15"/>
    </row>
    <row r="249" spans="1:21">
      <c r="A249" s="15"/>
      <c r="B249" s="15"/>
      <c r="C249" s="15"/>
      <c r="D249" s="15"/>
      <c r="E249" s="15"/>
      <c r="F249" s="15"/>
      <c r="G249" s="15"/>
      <c r="H249" s="15"/>
      <c r="J249" s="14" t="s">
        <v>134</v>
      </c>
      <c r="K249" s="15">
        <v>3.4</v>
      </c>
      <c r="L249" s="105">
        <f t="shared" ref="L249:L254" si="90">L248+(L248*(RATE(($R$255-$R$248),0,L$248,-L$255)))</f>
        <v>21.496474182317865</v>
      </c>
      <c r="M249" s="15">
        <v>15.87</v>
      </c>
      <c r="N249" s="15">
        <v>4</v>
      </c>
      <c r="O249" s="15"/>
      <c r="P249" s="15">
        <v>2.2799999999999998</v>
      </c>
      <c r="Q249" s="15"/>
      <c r="R249" s="106">
        <v>247</v>
      </c>
      <c r="S249" s="15"/>
      <c r="T249" s="15"/>
      <c r="U249" s="15"/>
    </row>
    <row r="250" spans="1:21">
      <c r="A250" s="15"/>
      <c r="B250" s="15"/>
      <c r="C250" s="15"/>
      <c r="D250" s="15"/>
      <c r="E250" s="15"/>
      <c r="F250" s="15"/>
      <c r="G250" s="15"/>
      <c r="H250" s="15"/>
      <c r="J250" s="14" t="s">
        <v>135</v>
      </c>
      <c r="K250" s="15">
        <v>3.4</v>
      </c>
      <c r="L250" s="105">
        <f t="shared" si="90"/>
        <v>21.373654129096135</v>
      </c>
      <c r="M250" s="15">
        <v>20</v>
      </c>
      <c r="N250" s="15">
        <v>4.32</v>
      </c>
      <c r="O250" s="15"/>
      <c r="P250" s="15">
        <v>2.15</v>
      </c>
      <c r="Q250" s="15"/>
      <c r="R250" s="106">
        <v>248</v>
      </c>
      <c r="S250" s="15"/>
      <c r="T250" s="15"/>
      <c r="U250" s="15"/>
    </row>
    <row r="251" spans="1:21">
      <c r="A251" s="15"/>
      <c r="B251" s="15"/>
      <c r="C251" s="15"/>
      <c r="D251" s="15"/>
      <c r="E251" s="15"/>
      <c r="F251" s="15"/>
      <c r="G251" s="15"/>
      <c r="H251" s="15"/>
      <c r="J251" s="14" t="s">
        <v>136</v>
      </c>
      <c r="K251" s="15">
        <v>3.36</v>
      </c>
      <c r="L251" s="105">
        <f t="shared" si="90"/>
        <v>21.251535807951278</v>
      </c>
      <c r="M251" s="105">
        <f>M250+(M250*(RATE(($R$258-$R$250),0,M$250,-M$258)))</f>
        <v>20.000000000051266</v>
      </c>
      <c r="N251" s="15">
        <v>4</v>
      </c>
      <c r="O251" s="15"/>
      <c r="P251" s="15">
        <v>2.13</v>
      </c>
      <c r="Q251" s="15"/>
      <c r="R251" s="106">
        <v>249</v>
      </c>
      <c r="S251" s="15"/>
      <c r="T251" s="15"/>
      <c r="U251" s="15"/>
    </row>
    <row r="252" spans="1:21">
      <c r="A252" s="15"/>
      <c r="B252" s="15"/>
      <c r="C252" s="15"/>
      <c r="D252" s="15"/>
      <c r="E252" s="15"/>
      <c r="F252" s="15"/>
      <c r="G252" s="15"/>
      <c r="H252" s="15"/>
      <c r="J252" s="14" t="s">
        <v>192</v>
      </c>
      <c r="K252" s="15">
        <v>3.33</v>
      </c>
      <c r="L252" s="105">
        <f>L251+(L251*(RATE(($R$255-$R$248),0,L$248,-L$255)))</f>
        <v>21.130115209538772</v>
      </c>
      <c r="M252" s="105">
        <f>M251+(M251*(RATE(($R$258-$R$250),0,M$250,-M$258)))</f>
        <v>20.000000000102531</v>
      </c>
      <c r="N252" s="15">
        <v>3.76</v>
      </c>
      <c r="O252" s="15"/>
      <c r="P252" s="15">
        <v>2.2400000000000002</v>
      </c>
      <c r="Q252" s="15"/>
      <c r="R252" s="106">
        <v>250</v>
      </c>
      <c r="S252" s="15"/>
      <c r="T252" s="15"/>
      <c r="U252" s="15"/>
    </row>
    <row r="253" spans="1:21">
      <c r="A253" s="15"/>
      <c r="B253" s="15"/>
      <c r="C253" s="15"/>
      <c r="D253" s="15"/>
      <c r="E253" s="15"/>
      <c r="F253" s="15"/>
      <c r="G253" s="15"/>
      <c r="H253" s="15"/>
      <c r="J253" s="14" t="s">
        <v>193</v>
      </c>
      <c r="K253" s="15">
        <v>3.53</v>
      </c>
      <c r="L253" s="105">
        <f t="shared" si="90"/>
        <v>21.009388347421471</v>
      </c>
      <c r="M253" s="105">
        <f t="shared" ref="M253:M257" si="91">M252+(M252*(RATE(($R$258-$R$250),0,M$250,-M$258)))</f>
        <v>20.000000000153797</v>
      </c>
      <c r="N253" s="15">
        <v>3.46</v>
      </c>
      <c r="O253" s="15"/>
      <c r="P253" s="15">
        <v>2.19</v>
      </c>
      <c r="Q253" s="15"/>
      <c r="R253" s="106">
        <v>251</v>
      </c>
      <c r="S253" s="15"/>
      <c r="T253" s="15"/>
      <c r="U253" s="15"/>
    </row>
    <row r="254" spans="1:21">
      <c r="A254" s="15"/>
      <c r="B254" s="15"/>
      <c r="C254" s="15"/>
      <c r="D254" s="15"/>
      <c r="E254" s="15"/>
      <c r="F254" s="15"/>
      <c r="G254" s="15"/>
      <c r="H254" s="15"/>
      <c r="J254" s="14" t="s">
        <v>194</v>
      </c>
      <c r="K254" s="15">
        <v>3.7</v>
      </c>
      <c r="L254" s="105">
        <f t="shared" si="90"/>
        <v>20.889351257938731</v>
      </c>
      <c r="M254" s="105">
        <f t="shared" si="91"/>
        <v>20.000000000205063</v>
      </c>
      <c r="N254" s="15">
        <v>3.5</v>
      </c>
      <c r="O254" s="15"/>
      <c r="P254" s="15">
        <v>2.19</v>
      </c>
      <c r="Q254" s="15"/>
      <c r="R254" s="106">
        <v>252</v>
      </c>
      <c r="S254" s="15"/>
      <c r="T254" s="15"/>
      <c r="U254" s="15"/>
    </row>
    <row r="255" spans="1:21">
      <c r="A255" s="15"/>
      <c r="B255" s="15"/>
      <c r="C255" s="15"/>
      <c r="D255" s="15"/>
      <c r="E255" s="15"/>
      <c r="F255" s="15"/>
      <c r="G255" s="15"/>
      <c r="H255" s="15"/>
      <c r="I255" s="4">
        <f t="shared" ref="I255" si="92">I243+1</f>
        <v>1884</v>
      </c>
      <c r="J255" s="14" t="s">
        <v>96</v>
      </c>
      <c r="K255" s="15">
        <v>3.7</v>
      </c>
      <c r="L255" s="15">
        <v>20.77</v>
      </c>
      <c r="M255" s="105">
        <f t="shared" si="91"/>
        <v>20.000000000256328</v>
      </c>
      <c r="N255" s="15">
        <v>3.46</v>
      </c>
      <c r="O255" s="15"/>
      <c r="P255" s="15">
        <v>2.19</v>
      </c>
      <c r="Q255" s="15"/>
      <c r="R255" s="106">
        <v>253</v>
      </c>
      <c r="S255" s="15"/>
      <c r="T255" s="15"/>
      <c r="U255" s="15"/>
    </row>
    <row r="256" spans="1:21">
      <c r="A256" s="15"/>
      <c r="B256" s="15"/>
      <c r="C256" s="15"/>
      <c r="D256" s="15"/>
      <c r="E256" s="15"/>
      <c r="F256" s="15"/>
      <c r="G256" s="15"/>
      <c r="H256" s="15"/>
      <c r="J256" s="14" t="s">
        <v>97</v>
      </c>
      <c r="K256" s="15">
        <v>3.74</v>
      </c>
      <c r="L256" s="15">
        <v>20.190000000000001</v>
      </c>
      <c r="M256" s="105">
        <f t="shared" si="91"/>
        <v>20.000000000307594</v>
      </c>
      <c r="N256" s="15">
        <v>3.5</v>
      </c>
      <c r="O256" s="15"/>
      <c r="P256" s="15">
        <v>2.2200000000000002</v>
      </c>
      <c r="Q256" s="15"/>
      <c r="R256" s="106">
        <v>254</v>
      </c>
      <c r="S256" s="15"/>
      <c r="T256" s="15"/>
      <c r="U256" s="15"/>
    </row>
    <row r="257" spans="1:21">
      <c r="A257" s="15"/>
      <c r="B257" s="15"/>
      <c r="C257" s="15"/>
      <c r="D257" s="15"/>
      <c r="E257" s="15"/>
      <c r="F257" s="15"/>
      <c r="G257" s="15"/>
      <c r="H257" s="15"/>
      <c r="J257" s="14" t="s">
        <v>130</v>
      </c>
      <c r="K257" s="15">
        <v>3.74</v>
      </c>
      <c r="L257" s="15">
        <v>20.51</v>
      </c>
      <c r="M257" s="105">
        <f t="shared" si="91"/>
        <v>20.00000000035886</v>
      </c>
      <c r="N257" s="15">
        <v>3.5</v>
      </c>
      <c r="O257" s="15"/>
      <c r="P257" s="15">
        <v>2.2200000000000002</v>
      </c>
      <c r="Q257" s="15"/>
      <c r="R257" s="106">
        <v>255</v>
      </c>
      <c r="S257" s="15"/>
      <c r="T257" s="15"/>
      <c r="U257" s="15"/>
    </row>
    <row r="258" spans="1:21">
      <c r="A258" s="15"/>
      <c r="B258" s="15"/>
      <c r="C258" s="15"/>
      <c r="D258" s="15"/>
      <c r="E258" s="15"/>
      <c r="F258" s="15"/>
      <c r="G258" s="15"/>
      <c r="H258" s="15"/>
      <c r="J258" s="14" t="s">
        <v>131</v>
      </c>
      <c r="K258" s="15">
        <v>3.49</v>
      </c>
      <c r="L258" s="15">
        <v>19.97</v>
      </c>
      <c r="M258" s="15">
        <v>20</v>
      </c>
      <c r="N258" s="15">
        <v>3.25</v>
      </c>
      <c r="O258" s="15"/>
      <c r="P258" s="15">
        <v>1.99</v>
      </c>
      <c r="Q258" s="15"/>
      <c r="R258" s="106">
        <v>256</v>
      </c>
      <c r="S258" s="15"/>
      <c r="T258" s="15"/>
      <c r="U258" s="15"/>
    </row>
    <row r="259" spans="1:21">
      <c r="A259" s="15"/>
      <c r="B259" s="15"/>
      <c r="C259" s="15"/>
      <c r="D259" s="15"/>
      <c r="E259" s="15"/>
      <c r="F259" s="15"/>
      <c r="G259" s="15"/>
      <c r="H259" s="15"/>
      <c r="J259" s="14" t="s">
        <v>132</v>
      </c>
      <c r="K259" s="15">
        <v>3.21</v>
      </c>
      <c r="L259" s="15">
        <v>19.87</v>
      </c>
      <c r="M259" s="15">
        <v>20</v>
      </c>
      <c r="N259" s="15">
        <v>3</v>
      </c>
      <c r="O259" s="15"/>
      <c r="P259" s="15">
        <v>1.62</v>
      </c>
      <c r="Q259" s="15"/>
      <c r="R259" s="106">
        <v>257</v>
      </c>
      <c r="S259" s="15"/>
      <c r="T259" s="15"/>
      <c r="U259" s="15"/>
    </row>
    <row r="260" spans="1:21">
      <c r="A260" s="15"/>
      <c r="B260" s="15"/>
      <c r="C260" s="15"/>
      <c r="D260" s="15"/>
      <c r="E260" s="15"/>
      <c r="F260" s="15"/>
      <c r="G260" s="15"/>
      <c r="H260" s="15"/>
      <c r="J260" s="14" t="s">
        <v>133</v>
      </c>
      <c r="K260" s="15">
        <v>3.19</v>
      </c>
      <c r="L260" s="15">
        <v>19.87</v>
      </c>
      <c r="M260" s="15">
        <v>20</v>
      </c>
      <c r="N260" s="15">
        <v>2.95</v>
      </c>
      <c r="O260" s="15"/>
      <c r="P260" s="15">
        <v>1.73</v>
      </c>
      <c r="Q260" s="15"/>
      <c r="R260" s="106">
        <v>258</v>
      </c>
      <c r="S260" s="15"/>
      <c r="T260" s="15"/>
      <c r="U260" s="15"/>
    </row>
    <row r="261" spans="1:21">
      <c r="A261" s="15"/>
      <c r="B261" s="15"/>
      <c r="C261" s="15"/>
      <c r="D261" s="15"/>
      <c r="E261" s="15"/>
      <c r="F261" s="15"/>
      <c r="G261" s="15"/>
      <c r="H261" s="15"/>
      <c r="J261" s="14" t="s">
        <v>134</v>
      </c>
      <c r="K261" s="105">
        <f t="shared" ref="K261:K264" si="93">K260+(K260*(RATE(($R$265-$R$260),0,K$260,-K$265)))</f>
        <v>3.2019107235007347</v>
      </c>
      <c r="L261" s="15">
        <v>19.87</v>
      </c>
      <c r="M261" s="15">
        <v>20</v>
      </c>
      <c r="N261" s="15">
        <v>3.75</v>
      </c>
      <c r="O261" s="15"/>
      <c r="P261" s="15">
        <v>1.84</v>
      </c>
      <c r="Q261" s="15"/>
      <c r="R261" s="106">
        <v>259</v>
      </c>
      <c r="S261" s="15"/>
      <c r="T261" s="15"/>
      <c r="U261" s="15"/>
    </row>
    <row r="262" spans="1:21">
      <c r="A262" s="15"/>
      <c r="B262" s="15"/>
      <c r="C262" s="15"/>
      <c r="D262" s="15"/>
      <c r="E262" s="15"/>
      <c r="F262" s="15"/>
      <c r="G262" s="15"/>
      <c r="H262" s="15"/>
      <c r="J262" s="14" t="s">
        <v>135</v>
      </c>
      <c r="K262" s="105">
        <f t="shared" si="93"/>
        <v>3.2138659188931031</v>
      </c>
      <c r="L262" s="15">
        <v>19.87</v>
      </c>
      <c r="M262" s="15">
        <v>20</v>
      </c>
      <c r="N262" s="15">
        <v>4.9000000000000004</v>
      </c>
      <c r="O262" s="15"/>
      <c r="P262" s="15">
        <v>1.73</v>
      </c>
      <c r="Q262" s="15"/>
      <c r="R262" s="106">
        <v>260</v>
      </c>
      <c r="S262" s="15"/>
      <c r="T262" s="15"/>
      <c r="U262" s="15"/>
    </row>
    <row r="263" spans="1:21">
      <c r="A263" s="15"/>
      <c r="B263" s="15"/>
      <c r="C263" s="15"/>
      <c r="D263" s="15"/>
      <c r="E263" s="15"/>
      <c r="F263" s="15"/>
      <c r="G263" s="15"/>
      <c r="H263" s="15"/>
      <c r="J263" s="14" t="s">
        <v>136</v>
      </c>
      <c r="K263" s="105">
        <f>K262+(K262*(RATE(($R$265-$R$260),0,K$260,-K$265)))</f>
        <v>3.2258657522248808</v>
      </c>
      <c r="L263" s="15">
        <v>19.87</v>
      </c>
      <c r="M263" s="15">
        <v>20.03</v>
      </c>
      <c r="N263" s="15">
        <v>4.9000000000000004</v>
      </c>
      <c r="O263" s="15"/>
      <c r="P263" s="15">
        <v>1.7</v>
      </c>
      <c r="Q263" s="15"/>
      <c r="R263" s="106">
        <v>261</v>
      </c>
      <c r="S263" s="15"/>
      <c r="T263" s="15"/>
      <c r="U263" s="15"/>
    </row>
    <row r="264" spans="1:21">
      <c r="A264" s="15"/>
      <c r="B264" s="15"/>
      <c r="C264" s="15"/>
      <c r="D264" s="15"/>
      <c r="E264" s="15"/>
      <c r="F264" s="15"/>
      <c r="G264" s="15"/>
      <c r="H264" s="15"/>
      <c r="J264" s="14" t="s">
        <v>192</v>
      </c>
      <c r="K264" s="105">
        <f t="shared" si="93"/>
        <v>3.2379103901638278</v>
      </c>
      <c r="L264" s="105">
        <f>L263+(L263*(RATE(($R$266-$R$263),0,L$263,-L$266)))</f>
        <v>20.89911302295646</v>
      </c>
      <c r="M264" s="15">
        <v>20.05</v>
      </c>
      <c r="N264" s="15">
        <v>4.91</v>
      </c>
      <c r="O264" s="15"/>
      <c r="P264" s="15">
        <v>1.7</v>
      </c>
      <c r="Q264" s="15"/>
      <c r="R264" s="106">
        <v>262</v>
      </c>
      <c r="S264" s="15"/>
      <c r="T264" s="15"/>
      <c r="U264" s="15"/>
    </row>
    <row r="265" spans="1:21">
      <c r="A265" s="15"/>
      <c r="B265" s="15"/>
      <c r="C265" s="15"/>
      <c r="D265" s="15"/>
      <c r="E265" s="15"/>
      <c r="F265" s="15"/>
      <c r="G265" s="15"/>
      <c r="H265" s="15"/>
      <c r="J265" s="14" t="s">
        <v>193</v>
      </c>
      <c r="K265" s="15">
        <v>3.25</v>
      </c>
      <c r="L265" s="105">
        <f>L264+(L264*(RATE(($R$266-$R$263),0,L$263,-L$266)))</f>
        <v>21.981526177468965</v>
      </c>
      <c r="M265" s="15">
        <v>20.16</v>
      </c>
      <c r="N265" s="15">
        <v>4.9400000000000004</v>
      </c>
      <c r="O265" s="15"/>
      <c r="P265" s="15">
        <v>1.71</v>
      </c>
      <c r="Q265" s="15"/>
      <c r="R265" s="106">
        <v>263</v>
      </c>
      <c r="S265" s="15"/>
      <c r="T265" s="15"/>
      <c r="U265" s="15"/>
    </row>
    <row r="266" spans="1:21">
      <c r="A266" s="15"/>
      <c r="B266" s="15"/>
      <c r="C266" s="15"/>
      <c r="D266" s="15"/>
      <c r="E266" s="15"/>
      <c r="F266" s="15"/>
      <c r="G266" s="15"/>
      <c r="H266" s="15"/>
      <c r="J266" s="14" t="s">
        <v>194</v>
      </c>
      <c r="K266" s="15">
        <v>3.25</v>
      </c>
      <c r="L266" s="15">
        <v>23.12</v>
      </c>
      <c r="M266" s="15">
        <v>12.87</v>
      </c>
      <c r="N266" s="15">
        <v>4.9000000000000004</v>
      </c>
      <c r="O266" s="15"/>
      <c r="P266" s="15">
        <v>1.71</v>
      </c>
      <c r="Q266" s="15"/>
      <c r="R266" s="106">
        <v>264</v>
      </c>
      <c r="S266" s="15"/>
      <c r="T266" s="15"/>
      <c r="U266" s="15"/>
    </row>
    <row r="267" spans="1:21">
      <c r="A267" s="15"/>
      <c r="B267" s="15"/>
      <c r="C267" s="15"/>
      <c r="D267" s="15"/>
      <c r="E267" s="15"/>
      <c r="F267" s="15"/>
      <c r="G267" s="15"/>
      <c r="H267" s="15"/>
      <c r="I267" s="4">
        <f t="shared" ref="I267" si="94">I255+1</f>
        <v>1885</v>
      </c>
      <c r="J267" s="14" t="s">
        <v>96</v>
      </c>
      <c r="K267" s="15">
        <v>3.34</v>
      </c>
      <c r="L267" s="15">
        <v>26.51</v>
      </c>
      <c r="M267" s="15">
        <v>10.32</v>
      </c>
      <c r="N267" s="15">
        <v>2.57</v>
      </c>
      <c r="O267" s="15"/>
      <c r="P267" s="15">
        <v>1.4</v>
      </c>
      <c r="Q267" s="15"/>
      <c r="R267" s="106">
        <v>265</v>
      </c>
      <c r="S267" s="15"/>
      <c r="T267" s="15"/>
      <c r="U267" s="15"/>
    </row>
    <row r="268" spans="1:21">
      <c r="A268" s="15"/>
      <c r="B268" s="15"/>
      <c r="C268" s="15"/>
      <c r="D268" s="15"/>
      <c r="E268" s="15"/>
      <c r="F268" s="15"/>
      <c r="G268" s="15"/>
      <c r="H268" s="15"/>
      <c r="J268" s="14" t="s">
        <v>97</v>
      </c>
      <c r="K268" s="15">
        <v>3.15</v>
      </c>
      <c r="L268" s="15">
        <v>26.88</v>
      </c>
      <c r="M268" s="15">
        <v>10.62</v>
      </c>
      <c r="N268" s="15">
        <v>2.68</v>
      </c>
      <c r="O268" s="15"/>
      <c r="P268" s="15">
        <v>1.33</v>
      </c>
      <c r="Q268" s="15"/>
      <c r="R268" s="106">
        <v>266</v>
      </c>
      <c r="S268" s="15"/>
      <c r="T268" s="15"/>
      <c r="U268" s="15"/>
    </row>
    <row r="269" spans="1:21">
      <c r="A269" s="15"/>
      <c r="B269" s="15"/>
      <c r="C269" s="15"/>
      <c r="D269" s="15"/>
      <c r="E269" s="15"/>
      <c r="F269" s="15"/>
      <c r="G269" s="15"/>
      <c r="H269" s="15"/>
      <c r="J269" s="14" t="s">
        <v>130</v>
      </c>
      <c r="K269" s="15">
        <v>3.6</v>
      </c>
      <c r="L269" s="15">
        <v>30.130000000000003</v>
      </c>
      <c r="M269" s="15">
        <v>10.9</v>
      </c>
      <c r="N269" s="15">
        <v>2.78</v>
      </c>
      <c r="O269" s="15"/>
      <c r="P269" s="15">
        <v>2.27</v>
      </c>
      <c r="Q269" s="15"/>
      <c r="R269" s="106">
        <v>267</v>
      </c>
      <c r="S269" s="15"/>
      <c r="T269" s="15"/>
      <c r="U269" s="15"/>
    </row>
    <row r="270" spans="1:21">
      <c r="A270" s="15"/>
      <c r="B270" s="15"/>
      <c r="C270" s="15"/>
      <c r="D270" s="15"/>
      <c r="E270" s="15"/>
      <c r="F270" s="15"/>
      <c r="G270" s="15"/>
      <c r="H270" s="15"/>
      <c r="J270" s="14" t="s">
        <v>131</v>
      </c>
      <c r="K270" s="15">
        <v>2.62</v>
      </c>
      <c r="L270" s="105">
        <f>L269+(L269*(RATE(($R$271-$R$269),0,L$269,-L$271)))</f>
        <v>24.201801585832406</v>
      </c>
      <c r="M270" s="15">
        <v>9.94</v>
      </c>
      <c r="N270" s="15">
        <v>2.5299999999999998</v>
      </c>
      <c r="O270" s="15"/>
      <c r="P270" s="15">
        <v>1.1599999999999999</v>
      </c>
      <c r="Q270" s="15"/>
      <c r="R270" s="106">
        <v>268</v>
      </c>
      <c r="S270" s="15"/>
      <c r="T270" s="15"/>
      <c r="U270" s="15"/>
    </row>
    <row r="271" spans="1:21">
      <c r="A271" s="15"/>
      <c r="B271" s="15"/>
      <c r="C271" s="15"/>
      <c r="D271" s="15"/>
      <c r="E271" s="15"/>
      <c r="F271" s="15"/>
      <c r="G271" s="15"/>
      <c r="H271" s="15"/>
      <c r="J271" s="14" t="s">
        <v>132</v>
      </c>
      <c r="K271" s="15">
        <v>2.94</v>
      </c>
      <c r="L271" s="15">
        <v>19.440000000000001</v>
      </c>
      <c r="M271" s="15">
        <v>10.65</v>
      </c>
      <c r="N271" s="15">
        <v>2.71</v>
      </c>
      <c r="O271" s="15"/>
      <c r="P271" s="15">
        <v>1.24</v>
      </c>
      <c r="Q271" s="15"/>
      <c r="R271" s="106">
        <v>269</v>
      </c>
      <c r="S271" s="15"/>
      <c r="T271" s="15"/>
      <c r="U271" s="15"/>
    </row>
    <row r="272" spans="1:21">
      <c r="A272" s="15"/>
      <c r="B272" s="15"/>
      <c r="C272" s="15"/>
      <c r="D272" s="15"/>
      <c r="E272" s="15"/>
      <c r="F272" s="15"/>
      <c r="G272" s="15"/>
      <c r="H272" s="15"/>
      <c r="J272" s="14" t="s">
        <v>133</v>
      </c>
      <c r="K272" s="15">
        <v>2.79</v>
      </c>
      <c r="L272" s="15">
        <v>18.38</v>
      </c>
      <c r="M272" s="15">
        <v>10.3</v>
      </c>
      <c r="N272" s="15">
        <v>3.12</v>
      </c>
      <c r="O272" s="15"/>
      <c r="P272" s="15">
        <v>1.34</v>
      </c>
      <c r="Q272" s="15"/>
      <c r="R272" s="106">
        <v>270</v>
      </c>
      <c r="S272" s="15"/>
      <c r="T272" s="15"/>
      <c r="U272" s="15"/>
    </row>
    <row r="273" spans="1:21">
      <c r="A273" s="15"/>
      <c r="B273" s="15"/>
      <c r="C273" s="15"/>
      <c r="D273" s="15"/>
      <c r="E273" s="15"/>
      <c r="F273" s="15"/>
      <c r="G273" s="15"/>
      <c r="H273" s="15"/>
      <c r="J273" s="14" t="s">
        <v>134</v>
      </c>
      <c r="K273" s="15">
        <v>2.77</v>
      </c>
      <c r="L273" s="105">
        <f>L272+(L272*(RATE(($R$277-$R$272),0,L$272,-L$277)))</f>
        <v>18.185945408341425</v>
      </c>
      <c r="M273" s="15">
        <v>10.23</v>
      </c>
      <c r="N273" s="15">
        <v>3.27</v>
      </c>
      <c r="O273" s="15"/>
      <c r="P273" s="15">
        <v>1.33</v>
      </c>
      <c r="Q273" s="15"/>
      <c r="R273" s="106">
        <v>271</v>
      </c>
      <c r="S273" s="15"/>
      <c r="T273" s="15"/>
      <c r="U273" s="15"/>
    </row>
    <row r="274" spans="1:21">
      <c r="A274" s="15"/>
      <c r="B274" s="15"/>
      <c r="C274" s="15"/>
      <c r="D274" s="15"/>
      <c r="E274" s="15"/>
      <c r="F274" s="15"/>
      <c r="G274" s="15"/>
      <c r="H274" s="15"/>
      <c r="J274" s="14" t="s">
        <v>135</v>
      </c>
      <c r="K274" s="15">
        <v>2.57</v>
      </c>
      <c r="L274" s="105">
        <f>L273+(L273*(RATE(($R$277-$R$272),0,L$272,-L$277)))</f>
        <v>17.993939629770107</v>
      </c>
      <c r="M274" s="15">
        <v>9.5</v>
      </c>
      <c r="N274" s="15">
        <v>2.92</v>
      </c>
      <c r="O274" s="15"/>
      <c r="P274" s="15">
        <v>1.23</v>
      </c>
      <c r="Q274" s="15"/>
      <c r="R274" s="106">
        <v>272</v>
      </c>
      <c r="S274" s="15"/>
      <c r="T274" s="15"/>
      <c r="U274" s="15"/>
    </row>
    <row r="275" spans="1:21">
      <c r="A275" s="15"/>
      <c r="B275" s="15"/>
      <c r="C275" s="15"/>
      <c r="D275" s="15"/>
      <c r="E275" s="15"/>
      <c r="F275" s="15"/>
      <c r="G275" s="15"/>
      <c r="H275" s="15"/>
      <c r="J275" s="14" t="s">
        <v>136</v>
      </c>
      <c r="K275" s="105">
        <f>K274+(K274*(RATE(($R$276-$R$274),0,K$274,-K$276)))</f>
        <v>2.5899227787715984</v>
      </c>
      <c r="L275" s="105">
        <f>L274+(L274*(RATE(($R$277-$R$272),0,L$272,-L$277)))</f>
        <v>17.803961033078917</v>
      </c>
      <c r="M275" s="15">
        <v>9.6300000000000008</v>
      </c>
      <c r="N275" s="15">
        <v>2.97</v>
      </c>
      <c r="O275" s="15"/>
      <c r="P275" s="15">
        <v>1.28</v>
      </c>
      <c r="Q275" s="15"/>
      <c r="R275" s="106">
        <v>273</v>
      </c>
      <c r="S275" s="15"/>
      <c r="T275" s="15"/>
      <c r="U275" s="15"/>
    </row>
    <row r="276" spans="1:21">
      <c r="A276" s="15"/>
      <c r="B276" s="15"/>
      <c r="C276" s="15"/>
      <c r="D276" s="15"/>
      <c r="E276" s="15"/>
      <c r="F276" s="15"/>
      <c r="G276" s="15"/>
      <c r="H276" s="15"/>
      <c r="J276" s="14" t="s">
        <v>192</v>
      </c>
      <c r="K276" s="15">
        <v>2.61</v>
      </c>
      <c r="L276" s="105">
        <f>L275+(L275*(RATE(($R$277-$R$272),0,L$272,-L$277)))</f>
        <v>17.615988215441305</v>
      </c>
      <c r="M276" s="15">
        <v>9.43</v>
      </c>
      <c r="N276" s="15">
        <v>2.87</v>
      </c>
      <c r="O276" s="15"/>
      <c r="P276" s="15">
        <v>1.32</v>
      </c>
      <c r="Q276" s="15"/>
      <c r="R276" s="106">
        <v>274</v>
      </c>
      <c r="S276" s="15"/>
      <c r="T276" s="15"/>
      <c r="U276" s="15"/>
    </row>
    <row r="277" spans="1:21">
      <c r="A277" s="15"/>
      <c r="B277" s="15"/>
      <c r="C277" s="15"/>
      <c r="D277" s="15"/>
      <c r="E277" s="15"/>
      <c r="F277" s="15"/>
      <c r="G277" s="15"/>
      <c r="H277" s="15"/>
      <c r="J277" s="14" t="s">
        <v>193</v>
      </c>
      <c r="K277" s="15">
        <v>2.9</v>
      </c>
      <c r="L277" s="15">
        <v>17.43</v>
      </c>
      <c r="M277" s="105">
        <f>M276+(M276*(RATE(($R$280-$R$276),0,M$276,-M$280)))</f>
        <v>8.0867927595560847</v>
      </c>
      <c r="N277" s="15">
        <v>3.17</v>
      </c>
      <c r="O277" s="15"/>
      <c r="P277" s="15">
        <v>1.43</v>
      </c>
      <c r="Q277" s="15"/>
      <c r="R277" s="106">
        <v>275</v>
      </c>
      <c r="S277" s="15"/>
      <c r="T277" s="15"/>
      <c r="U277" s="15"/>
    </row>
    <row r="278" spans="1:21">
      <c r="A278" s="15"/>
      <c r="B278" s="15"/>
      <c r="C278" s="15"/>
      <c r="D278" s="15"/>
      <c r="E278" s="15"/>
      <c r="F278" s="15"/>
      <c r="G278" s="15"/>
      <c r="H278" s="15"/>
      <c r="J278" s="14" t="s">
        <v>194</v>
      </c>
      <c r="K278" s="15">
        <v>3.02</v>
      </c>
      <c r="L278" s="15">
        <v>20.170000000000002</v>
      </c>
      <c r="M278" s="105">
        <f>M277+(M277*(RATE(($R$280-$R$276),0,M$276,-M$280)))</f>
        <v>6.934911679322239</v>
      </c>
      <c r="N278" s="15">
        <v>3.71</v>
      </c>
      <c r="O278" s="15"/>
      <c r="P278" s="15">
        <v>1.97</v>
      </c>
      <c r="Q278" s="15"/>
      <c r="R278" s="106">
        <v>276</v>
      </c>
      <c r="S278" s="15"/>
      <c r="T278" s="15"/>
      <c r="U278" s="15"/>
    </row>
    <row r="279" spans="1:21">
      <c r="A279" s="15"/>
      <c r="B279" s="15"/>
      <c r="C279" s="15"/>
      <c r="D279" s="15"/>
      <c r="E279" s="15"/>
      <c r="F279" s="15"/>
      <c r="G279" s="15"/>
      <c r="H279" s="15"/>
      <c r="I279" s="4">
        <f t="shared" ref="I279" si="95">I267+1</f>
        <v>1886</v>
      </c>
      <c r="J279" s="14" t="s">
        <v>96</v>
      </c>
      <c r="K279" s="15">
        <v>3</v>
      </c>
      <c r="L279" s="15">
        <v>20.170000000000002</v>
      </c>
      <c r="M279" s="105">
        <f>M278+(M278*(RATE(($R$280-$R$276),0,M$276,-M$280)))</f>
        <v>5.9471043007957594</v>
      </c>
      <c r="N279" s="15">
        <v>3.53</v>
      </c>
      <c r="O279" s="15"/>
      <c r="P279" s="15">
        <v>2.66</v>
      </c>
      <c r="Q279" s="15"/>
      <c r="R279" s="106">
        <v>277</v>
      </c>
      <c r="S279" s="15"/>
      <c r="T279" s="15"/>
      <c r="U279" s="15"/>
    </row>
    <row r="280" spans="1:21">
      <c r="A280" s="15"/>
      <c r="B280" s="15"/>
      <c r="C280" s="15"/>
      <c r="D280" s="15"/>
      <c r="E280" s="15"/>
      <c r="F280" s="15"/>
      <c r="G280" s="15"/>
      <c r="H280" s="15"/>
      <c r="J280" s="14" t="s">
        <v>97</v>
      </c>
      <c r="K280" s="15">
        <v>2.93</v>
      </c>
      <c r="L280" s="15">
        <v>19.37</v>
      </c>
      <c r="M280" s="15">
        <v>5.0999999999999996</v>
      </c>
      <c r="N280" s="15">
        <v>3.41</v>
      </c>
      <c r="O280" s="15"/>
      <c r="P280" s="15">
        <v>2.5</v>
      </c>
      <c r="Q280" s="15"/>
      <c r="R280" s="106">
        <v>278</v>
      </c>
      <c r="S280" s="15"/>
      <c r="T280" s="15"/>
      <c r="U280" s="15"/>
    </row>
    <row r="281" spans="1:21">
      <c r="A281" s="15"/>
      <c r="B281" s="15"/>
      <c r="C281" s="15"/>
      <c r="D281" s="15"/>
      <c r="E281" s="15"/>
      <c r="F281" s="15"/>
      <c r="G281" s="15"/>
      <c r="H281" s="15"/>
      <c r="J281" s="14" t="s">
        <v>130</v>
      </c>
      <c r="K281" s="15">
        <v>2.8</v>
      </c>
      <c r="L281" s="15">
        <v>18.809999999999999</v>
      </c>
      <c r="M281" s="15">
        <v>5.03</v>
      </c>
      <c r="N281" s="15">
        <v>3.34</v>
      </c>
      <c r="O281" s="15"/>
      <c r="P281" s="15">
        <v>1.37</v>
      </c>
      <c r="Q281" s="15"/>
      <c r="R281" s="106">
        <v>279</v>
      </c>
      <c r="S281" s="15"/>
      <c r="T281" s="15"/>
      <c r="U281" s="15"/>
    </row>
    <row r="282" spans="1:21">
      <c r="A282" s="15"/>
      <c r="B282" s="15"/>
      <c r="C282" s="15"/>
      <c r="D282" s="15"/>
      <c r="E282" s="15"/>
      <c r="F282" s="15"/>
      <c r="G282" s="15"/>
      <c r="H282" s="15"/>
      <c r="J282" s="14" t="s">
        <v>131</v>
      </c>
      <c r="K282" s="15">
        <v>2.76</v>
      </c>
      <c r="L282" s="15">
        <v>17.79</v>
      </c>
      <c r="M282" s="15">
        <v>4.99</v>
      </c>
      <c r="N282" s="15">
        <v>3.67</v>
      </c>
      <c r="O282" s="15"/>
      <c r="P282" s="15">
        <v>1.23</v>
      </c>
      <c r="Q282" s="15"/>
      <c r="R282" s="106">
        <v>280</v>
      </c>
      <c r="S282" s="15"/>
      <c r="T282" s="15"/>
      <c r="U282" s="15"/>
    </row>
    <row r="283" spans="1:21">
      <c r="A283" s="15"/>
      <c r="B283" s="15"/>
      <c r="C283" s="15"/>
      <c r="D283" s="15"/>
      <c r="E283" s="15"/>
      <c r="F283" s="15"/>
      <c r="G283" s="15"/>
      <c r="H283" s="15"/>
      <c r="J283" s="14" t="s">
        <v>132</v>
      </c>
      <c r="K283" s="15">
        <v>2.94</v>
      </c>
      <c r="L283" s="15">
        <v>16.489999999999998</v>
      </c>
      <c r="M283" s="15">
        <v>4.93</v>
      </c>
      <c r="N283" s="15">
        <v>4.0199999999999996</v>
      </c>
      <c r="O283" s="15"/>
      <c r="P283" s="15">
        <v>1.36</v>
      </c>
      <c r="Q283" s="15"/>
      <c r="R283" s="106">
        <v>281</v>
      </c>
      <c r="S283" s="15"/>
      <c r="T283" s="15"/>
      <c r="U283" s="15"/>
    </row>
    <row r="284" spans="1:21">
      <c r="A284" s="15"/>
      <c r="B284" s="15"/>
      <c r="C284" s="15"/>
      <c r="D284" s="15"/>
      <c r="E284" s="15"/>
      <c r="F284" s="15"/>
      <c r="G284" s="15"/>
      <c r="H284" s="15"/>
      <c r="J284" s="14" t="s">
        <v>133</v>
      </c>
      <c r="K284" s="15">
        <v>3.06</v>
      </c>
      <c r="L284" s="15">
        <v>16.54</v>
      </c>
      <c r="M284" s="15">
        <v>4.5199999999999996</v>
      </c>
      <c r="N284" s="15">
        <v>4.42</v>
      </c>
      <c r="O284" s="15"/>
      <c r="P284" s="15">
        <v>1.48</v>
      </c>
      <c r="Q284" s="15"/>
      <c r="R284" s="106">
        <v>282</v>
      </c>
      <c r="S284" s="15"/>
      <c r="T284" s="15"/>
      <c r="U284" s="15"/>
    </row>
    <row r="285" spans="1:21">
      <c r="A285" s="15"/>
      <c r="B285" s="15"/>
      <c r="C285" s="15"/>
      <c r="D285" s="15"/>
      <c r="E285" s="15"/>
      <c r="F285" s="15"/>
      <c r="G285" s="15"/>
      <c r="H285" s="15"/>
      <c r="J285" s="14" t="s">
        <v>134</v>
      </c>
      <c r="K285" s="15">
        <v>3.35</v>
      </c>
      <c r="L285" s="15">
        <v>16.43</v>
      </c>
      <c r="M285" s="15">
        <v>4.04</v>
      </c>
      <c r="N285" s="15">
        <v>4.79</v>
      </c>
      <c r="O285" s="15"/>
      <c r="P285" s="15">
        <v>1.61</v>
      </c>
      <c r="Q285" s="15"/>
      <c r="R285" s="106">
        <v>283</v>
      </c>
      <c r="S285" s="15"/>
      <c r="T285" s="15"/>
      <c r="U285" s="15"/>
    </row>
    <row r="286" spans="1:21">
      <c r="A286" s="15"/>
      <c r="B286" s="15"/>
      <c r="C286" s="15"/>
      <c r="D286" s="15"/>
      <c r="E286" s="15"/>
      <c r="F286" s="15"/>
      <c r="G286" s="15"/>
      <c r="H286" s="15"/>
      <c r="J286" s="14" t="s">
        <v>135</v>
      </c>
      <c r="K286" s="15">
        <v>3.48</v>
      </c>
      <c r="L286" s="105">
        <f t="shared" ref="L286:L303" si="96">L285+(L285*(RATE(($R$304-$R$285),0,L$285,-L$304)))</f>
        <v>16.573418644205638</v>
      </c>
      <c r="M286" s="15">
        <v>4.1900000000000004</v>
      </c>
      <c r="N286" s="15">
        <v>4.92</v>
      </c>
      <c r="O286" s="15"/>
      <c r="P286" s="15">
        <v>1.67</v>
      </c>
      <c r="Q286" s="15"/>
      <c r="R286" s="106">
        <v>284</v>
      </c>
      <c r="S286" s="15"/>
      <c r="T286" s="15"/>
      <c r="U286" s="15"/>
    </row>
    <row r="287" spans="1:21">
      <c r="A287" s="15"/>
      <c r="B287" s="15"/>
      <c r="C287" s="15"/>
      <c r="D287" s="15"/>
      <c r="E287" s="15"/>
      <c r="F287" s="15"/>
      <c r="G287" s="15"/>
      <c r="H287" s="15"/>
      <c r="J287" s="14" t="s">
        <v>136</v>
      </c>
      <c r="K287" s="15">
        <v>4.0199999999999996</v>
      </c>
      <c r="L287" s="105">
        <f t="shared" si="96"/>
        <v>16.718089200006276</v>
      </c>
      <c r="M287" s="15">
        <v>4.62</v>
      </c>
      <c r="N287" s="15">
        <v>5.3</v>
      </c>
      <c r="O287" s="15"/>
      <c r="P287" s="15">
        <v>1.84</v>
      </c>
      <c r="Q287" s="15"/>
      <c r="R287" s="106">
        <v>285</v>
      </c>
      <c r="S287" s="15"/>
      <c r="T287" s="15"/>
      <c r="U287" s="15"/>
    </row>
    <row r="288" spans="1:21">
      <c r="A288" s="15"/>
      <c r="B288" s="15"/>
      <c r="C288" s="15"/>
      <c r="D288" s="15"/>
      <c r="E288" s="15"/>
      <c r="F288" s="15"/>
      <c r="G288" s="15"/>
      <c r="H288" s="15"/>
      <c r="J288" s="14" t="s">
        <v>192</v>
      </c>
      <c r="K288" s="15">
        <v>4.3099999999999996</v>
      </c>
      <c r="L288" s="105">
        <f t="shared" si="96"/>
        <v>16.864022595427691</v>
      </c>
      <c r="M288" s="15">
        <v>4.1100000000000003</v>
      </c>
      <c r="N288" s="15">
        <v>5.3</v>
      </c>
      <c r="O288" s="15"/>
      <c r="P288" s="15">
        <v>1.87</v>
      </c>
      <c r="Q288" s="15"/>
      <c r="R288" s="106">
        <v>286</v>
      </c>
      <c r="S288" s="15"/>
      <c r="T288" s="15"/>
      <c r="U288" s="15"/>
    </row>
    <row r="289" spans="1:21">
      <c r="A289" s="15"/>
      <c r="B289" s="15"/>
      <c r="C289" s="15"/>
      <c r="D289" s="15"/>
      <c r="E289" s="15"/>
      <c r="F289" s="15"/>
      <c r="G289" s="15"/>
      <c r="H289" s="15"/>
      <c r="J289" s="14" t="s">
        <v>193</v>
      </c>
      <c r="K289" s="15">
        <v>3.6</v>
      </c>
      <c r="L289" s="105">
        <f t="shared" si="96"/>
        <v>17.011229853887187</v>
      </c>
      <c r="M289" s="15">
        <v>3.39</v>
      </c>
      <c r="N289" s="15">
        <v>4.28</v>
      </c>
      <c r="O289" s="15"/>
      <c r="P289" s="15">
        <v>1.73</v>
      </c>
      <c r="Q289" s="15"/>
      <c r="R289" s="106">
        <v>287</v>
      </c>
      <c r="S289" s="15"/>
      <c r="T289" s="15"/>
      <c r="U289" s="15"/>
    </row>
    <row r="290" spans="1:21">
      <c r="A290" s="15"/>
      <c r="B290" s="15"/>
      <c r="C290" s="15"/>
      <c r="D290" s="15"/>
      <c r="E290" s="15"/>
      <c r="F290" s="15"/>
      <c r="G290" s="15"/>
      <c r="H290" s="15"/>
      <c r="J290" s="14" t="s">
        <v>194</v>
      </c>
      <c r="K290" s="15">
        <v>2.8</v>
      </c>
      <c r="L290" s="105">
        <f>L289+(L289*(RATE(($R$304-$R$285),0,L$285,-L$304)))</f>
        <v>17.159722095026261</v>
      </c>
      <c r="M290" s="15">
        <v>3.41</v>
      </c>
      <c r="N290" s="15">
        <v>3.95</v>
      </c>
      <c r="O290" s="15"/>
      <c r="P290" s="15">
        <v>1.76</v>
      </c>
      <c r="Q290" s="15"/>
      <c r="R290" s="106">
        <v>288</v>
      </c>
      <c r="S290" s="15"/>
      <c r="T290" s="15"/>
      <c r="U290" s="15"/>
    </row>
    <row r="291" spans="1:21">
      <c r="A291" s="15"/>
      <c r="B291" s="15"/>
      <c r="C291" s="15"/>
      <c r="D291" s="15"/>
      <c r="E291" s="15"/>
      <c r="F291" s="15"/>
      <c r="G291" s="15"/>
      <c r="H291" s="15"/>
      <c r="I291" s="4">
        <f t="shared" ref="I291" si="97">I279+1</f>
        <v>1887</v>
      </c>
      <c r="J291" s="14" t="s">
        <v>108</v>
      </c>
      <c r="K291" s="15">
        <v>3.86</v>
      </c>
      <c r="L291" s="105">
        <f t="shared" si="96"/>
        <v>17.309510535550558</v>
      </c>
      <c r="M291" s="15">
        <v>3.45</v>
      </c>
      <c r="N291" s="15">
        <v>3.51</v>
      </c>
      <c r="O291" s="15"/>
      <c r="P291" s="15">
        <v>1.87</v>
      </c>
      <c r="Q291" s="15"/>
      <c r="R291" s="106">
        <v>289</v>
      </c>
      <c r="S291" s="15"/>
      <c r="T291" s="15"/>
      <c r="U291" s="15"/>
    </row>
    <row r="292" spans="1:21">
      <c r="A292" s="15"/>
      <c r="B292" s="15"/>
      <c r="C292" s="15"/>
      <c r="D292" s="15"/>
      <c r="E292" s="15"/>
      <c r="F292" s="15"/>
      <c r="G292" s="15"/>
      <c r="H292" s="15"/>
      <c r="J292" s="14" t="s">
        <v>109</v>
      </c>
      <c r="K292" s="15">
        <v>3.7</v>
      </c>
      <c r="L292" s="105">
        <f t="shared" si="96"/>
        <v>17.460606490077151</v>
      </c>
      <c r="M292" s="15">
        <v>3.87</v>
      </c>
      <c r="N292" s="15">
        <v>3.7</v>
      </c>
      <c r="O292" s="15"/>
      <c r="P292" s="15">
        <v>1.78</v>
      </c>
      <c r="Q292" s="15"/>
      <c r="R292" s="106">
        <v>290</v>
      </c>
      <c r="S292" s="15"/>
      <c r="T292" s="15"/>
      <c r="U292" s="15"/>
    </row>
    <row r="293" spans="1:21">
      <c r="A293" s="15"/>
      <c r="B293" s="15"/>
      <c r="C293" s="15"/>
      <c r="D293" s="15"/>
      <c r="E293" s="15"/>
      <c r="F293" s="15"/>
      <c r="G293" s="15"/>
      <c r="H293" s="15"/>
      <c r="J293" s="14" t="s">
        <v>130</v>
      </c>
      <c r="K293" s="15">
        <v>3.76</v>
      </c>
      <c r="L293" s="105">
        <f t="shared" si="96"/>
        <v>17.613021371989205</v>
      </c>
      <c r="M293" s="15">
        <v>3.45</v>
      </c>
      <c r="N293" s="15">
        <v>3.47</v>
      </c>
      <c r="O293" s="15"/>
      <c r="P293" s="15">
        <v>1.68</v>
      </c>
      <c r="Q293" s="15"/>
      <c r="R293" s="106">
        <v>291</v>
      </c>
      <c r="S293" s="15"/>
      <c r="T293" s="15"/>
      <c r="U293" s="15"/>
    </row>
    <row r="294" spans="1:21">
      <c r="A294" s="15"/>
      <c r="B294" s="15"/>
      <c r="C294" s="15"/>
      <c r="D294" s="15"/>
      <c r="E294" s="15"/>
      <c r="F294" s="15"/>
      <c r="G294" s="15"/>
      <c r="H294" s="15"/>
      <c r="J294" s="14" t="s">
        <v>131</v>
      </c>
      <c r="K294" s="15">
        <v>3.85</v>
      </c>
      <c r="L294" s="105">
        <f t="shared" si="96"/>
        <v>17.766766694298131</v>
      </c>
      <c r="M294" s="15">
        <v>3.33</v>
      </c>
      <c r="N294" s="15">
        <v>3.46</v>
      </c>
      <c r="O294" s="15"/>
      <c r="P294" s="15">
        <v>1.48</v>
      </c>
      <c r="Q294" s="15"/>
      <c r="R294" s="106">
        <v>292</v>
      </c>
      <c r="S294" s="15"/>
      <c r="T294" s="15"/>
      <c r="U294" s="15"/>
    </row>
    <row r="295" spans="1:21">
      <c r="A295" s="15"/>
      <c r="B295" s="15"/>
      <c r="C295" s="15"/>
      <c r="D295" s="15"/>
      <c r="E295" s="15"/>
      <c r="F295" s="15"/>
      <c r="G295" s="15"/>
      <c r="H295" s="15"/>
      <c r="J295" s="14" t="s">
        <v>132</v>
      </c>
      <c r="K295" s="15">
        <v>3.79</v>
      </c>
      <c r="L295" s="105">
        <f t="shared" si="96"/>
        <v>17.921854070513234</v>
      </c>
      <c r="M295" s="15">
        <v>3.28</v>
      </c>
      <c r="N295" s="15">
        <v>3.46</v>
      </c>
      <c r="O295" s="15"/>
      <c r="P295" s="15">
        <v>1.48</v>
      </c>
      <c r="Q295" s="15"/>
      <c r="R295" s="106">
        <v>293</v>
      </c>
      <c r="S295" s="15"/>
      <c r="T295" s="15"/>
      <c r="U295" s="15"/>
    </row>
    <row r="296" spans="1:21">
      <c r="A296" s="15"/>
      <c r="B296" s="15"/>
      <c r="C296" s="15"/>
      <c r="D296" s="15"/>
      <c r="E296" s="15"/>
      <c r="F296" s="15"/>
      <c r="G296" s="15"/>
      <c r="H296" s="15"/>
      <c r="J296" s="14" t="s">
        <v>133</v>
      </c>
      <c r="K296" s="15">
        <v>3.87</v>
      </c>
      <c r="L296" s="105">
        <f t="shared" si="96"/>
        <v>18.078295215518974</v>
      </c>
      <c r="M296" s="15">
        <v>3.49</v>
      </c>
      <c r="N296" s="15">
        <v>3.54</v>
      </c>
      <c r="O296" s="15"/>
      <c r="P296" s="15">
        <v>1.5</v>
      </c>
      <c r="Q296" s="15"/>
      <c r="R296" s="106">
        <v>294</v>
      </c>
      <c r="S296" s="15"/>
      <c r="T296" s="15"/>
      <c r="U296" s="15"/>
    </row>
    <row r="297" spans="1:21">
      <c r="A297" s="15"/>
      <c r="B297" s="15"/>
      <c r="C297" s="15"/>
      <c r="D297" s="15"/>
      <c r="E297" s="15"/>
      <c r="F297" s="15"/>
      <c r="G297" s="15"/>
      <c r="H297" s="15"/>
      <c r="J297" s="14" t="s">
        <v>134</v>
      </c>
      <c r="K297" s="105">
        <f>K296+(K296*(RATE(($R$298-$R$296),0,K$296,-K$298)))</f>
        <v>3.1659595701777365</v>
      </c>
      <c r="L297" s="105">
        <f t="shared" si="96"/>
        <v>18.236101946459875</v>
      </c>
      <c r="M297" s="15">
        <v>3.89</v>
      </c>
      <c r="N297" s="15">
        <v>3.03</v>
      </c>
      <c r="O297" s="15"/>
      <c r="P297" s="15">
        <v>1.51</v>
      </c>
      <c r="Q297" s="15"/>
      <c r="R297" s="106">
        <v>295</v>
      </c>
      <c r="S297" s="15"/>
      <c r="T297" s="15"/>
      <c r="U297" s="15"/>
    </row>
    <row r="298" spans="1:21">
      <c r="A298" s="15"/>
      <c r="B298" s="15"/>
      <c r="C298" s="15"/>
      <c r="D298" s="15"/>
      <c r="E298" s="15"/>
      <c r="F298" s="15"/>
      <c r="G298" s="15"/>
      <c r="H298" s="15"/>
      <c r="J298" s="14" t="s">
        <v>135</v>
      </c>
      <c r="K298" s="15">
        <v>2.59</v>
      </c>
      <c r="L298" s="105">
        <f t="shared" si="96"/>
        <v>18.395286183633161</v>
      </c>
      <c r="M298" s="15">
        <v>4.03</v>
      </c>
      <c r="N298" s="15">
        <v>3.02</v>
      </c>
      <c r="O298" s="15"/>
      <c r="P298" s="15">
        <v>1.55</v>
      </c>
      <c r="Q298" s="15"/>
      <c r="R298" s="106">
        <v>296</v>
      </c>
      <c r="S298" s="15"/>
      <c r="T298" s="15"/>
      <c r="U298" s="15"/>
    </row>
    <row r="299" spans="1:21">
      <c r="A299" s="15"/>
      <c r="B299" s="15"/>
      <c r="C299" s="15"/>
      <c r="D299" s="15"/>
      <c r="E299" s="15"/>
      <c r="F299" s="15"/>
      <c r="G299" s="15"/>
      <c r="H299" s="15"/>
      <c r="J299" s="14" t="s">
        <v>136</v>
      </c>
      <c r="K299" s="15">
        <v>2.33</v>
      </c>
      <c r="L299" s="105">
        <f t="shared" si="96"/>
        <v>18.555859951389181</v>
      </c>
      <c r="M299" s="15">
        <v>3.85</v>
      </c>
      <c r="N299" s="105">
        <f t="shared" ref="N299:N302" si="98">N298+(N298*(RATE(($R$303-$R$298),0,N$298,-N$303)))</f>
        <v>2.9509103141913147</v>
      </c>
      <c r="O299" s="15"/>
      <c r="P299" s="15">
        <v>1.57</v>
      </c>
      <c r="Q299" s="15"/>
      <c r="R299" s="106">
        <v>297</v>
      </c>
      <c r="S299" s="15"/>
      <c r="T299" s="15"/>
      <c r="U299" s="15"/>
    </row>
    <row r="300" spans="1:21">
      <c r="A300" s="15"/>
      <c r="B300" s="15"/>
      <c r="C300" s="15"/>
      <c r="D300" s="15"/>
      <c r="E300" s="15"/>
      <c r="F300" s="15"/>
      <c r="G300" s="15"/>
      <c r="H300" s="15"/>
      <c r="J300" s="14" t="s">
        <v>192</v>
      </c>
      <c r="K300" s="15">
        <v>2.85</v>
      </c>
      <c r="L300" s="105">
        <f t="shared" si="96"/>
        <v>18.717835379039695</v>
      </c>
      <c r="M300" s="15">
        <v>3.66</v>
      </c>
      <c r="N300" s="105">
        <f t="shared" si="98"/>
        <v>2.8834012193379746</v>
      </c>
      <c r="O300" s="15"/>
      <c r="P300" s="15">
        <v>1.63</v>
      </c>
      <c r="Q300" s="15"/>
      <c r="R300" s="106">
        <v>298</v>
      </c>
      <c r="S300" s="15"/>
      <c r="T300" s="15"/>
      <c r="U300" s="15"/>
    </row>
    <row r="301" spans="1:21">
      <c r="A301" s="15"/>
      <c r="B301" s="15"/>
      <c r="C301" s="15"/>
      <c r="D301" s="15"/>
      <c r="E301" s="15"/>
      <c r="F301" s="15"/>
      <c r="G301" s="15"/>
      <c r="H301" s="15"/>
      <c r="J301" s="14" t="s">
        <v>193</v>
      </c>
      <c r="K301" s="15">
        <v>3.1</v>
      </c>
      <c r="L301" s="105">
        <f t="shared" si="96"/>
        <v>18.881224701774098</v>
      </c>
      <c r="M301" s="15">
        <v>3.6</v>
      </c>
      <c r="N301" s="105">
        <f>N300+(N300*(RATE(($R$303-$R$298),0,N$298,-N$303)))</f>
        <v>2.8174365556610073</v>
      </c>
      <c r="O301" s="15"/>
      <c r="P301" s="15">
        <v>1.93</v>
      </c>
      <c r="Q301" s="15"/>
      <c r="R301" s="106">
        <v>299</v>
      </c>
      <c r="S301" s="15"/>
      <c r="T301" s="15"/>
      <c r="U301" s="15"/>
    </row>
    <row r="302" spans="1:21">
      <c r="A302" s="15"/>
      <c r="B302" s="15"/>
      <c r="C302" s="15"/>
      <c r="D302" s="15"/>
      <c r="E302" s="15"/>
      <c r="F302" s="15"/>
      <c r="G302" s="15"/>
      <c r="H302" s="15"/>
      <c r="J302" s="14" t="s">
        <v>194</v>
      </c>
      <c r="K302" s="15">
        <v>3.29</v>
      </c>
      <c r="L302" s="105">
        <f t="shared" si="96"/>
        <v>19.04604026158362</v>
      </c>
      <c r="M302" s="15">
        <v>3.86</v>
      </c>
      <c r="N302" s="105">
        <f t="shared" si="98"/>
        <v>2.7529809906224232</v>
      </c>
      <c r="O302" s="15"/>
      <c r="P302" s="15">
        <v>1.95</v>
      </c>
      <c r="Q302" s="15"/>
      <c r="R302" s="106">
        <v>300</v>
      </c>
      <c r="S302" s="15"/>
      <c r="T302" s="15"/>
      <c r="U302" s="15"/>
    </row>
    <row r="303" spans="1:21">
      <c r="A303" s="15"/>
      <c r="B303" s="15"/>
      <c r="C303" s="15"/>
      <c r="D303" s="15"/>
      <c r="E303" s="15"/>
      <c r="F303" s="15"/>
      <c r="G303" s="15"/>
      <c r="H303" s="15"/>
      <c r="I303" s="4">
        <f t="shared" ref="I303" si="99">I291+1</f>
        <v>1888</v>
      </c>
      <c r="J303" s="14" t="s">
        <v>184</v>
      </c>
      <c r="K303" s="15">
        <v>2.79</v>
      </c>
      <c r="L303" s="105">
        <f t="shared" si="96"/>
        <v>19.212294508193622</v>
      </c>
      <c r="M303" s="15">
        <v>3.89</v>
      </c>
      <c r="N303" s="15">
        <v>2.69</v>
      </c>
      <c r="O303" s="15"/>
      <c r="P303" s="15">
        <v>1.95</v>
      </c>
      <c r="Q303" s="15"/>
      <c r="R303" s="106">
        <v>301</v>
      </c>
      <c r="S303" s="15"/>
      <c r="T303" s="15"/>
      <c r="U303" s="15"/>
    </row>
    <row r="304" spans="1:21">
      <c r="A304" s="15"/>
      <c r="B304" s="15"/>
      <c r="C304" s="15"/>
      <c r="D304" s="15"/>
      <c r="E304" s="15"/>
      <c r="F304" s="15"/>
      <c r="G304" s="15"/>
      <c r="H304" s="15"/>
      <c r="J304" s="14" t="s">
        <v>364</v>
      </c>
      <c r="K304" s="15">
        <v>2.37</v>
      </c>
      <c r="L304" s="15">
        <v>19.38</v>
      </c>
      <c r="M304" s="15">
        <v>3.86</v>
      </c>
      <c r="N304" s="15">
        <v>2.68</v>
      </c>
      <c r="O304" s="15"/>
      <c r="P304" s="15">
        <v>1.97</v>
      </c>
      <c r="Q304" s="15"/>
      <c r="R304" s="106">
        <v>302</v>
      </c>
      <c r="S304" s="15"/>
      <c r="T304" s="15"/>
      <c r="U304" s="15"/>
    </row>
    <row r="305" spans="1:21">
      <c r="A305" s="15"/>
      <c r="B305" s="15"/>
      <c r="C305" s="15"/>
      <c r="D305" s="15"/>
      <c r="E305" s="15"/>
      <c r="F305" s="15"/>
      <c r="G305" s="15"/>
      <c r="H305" s="15"/>
      <c r="J305" s="14" t="s">
        <v>130</v>
      </c>
      <c r="K305" s="15">
        <v>2.63</v>
      </c>
      <c r="L305" s="15">
        <v>18.37</v>
      </c>
      <c r="M305" s="15">
        <v>3.62</v>
      </c>
      <c r="N305" s="15">
        <v>2.31</v>
      </c>
      <c r="O305" s="15"/>
      <c r="P305" s="105">
        <f>P304+(P304*(RATE(($R$306-$R$304),0,P$304,-P$306)))</f>
        <v>1.9898994949494306</v>
      </c>
      <c r="Q305" s="15"/>
      <c r="R305" s="106">
        <v>303</v>
      </c>
      <c r="S305" s="15"/>
      <c r="T305" s="15"/>
      <c r="U305" s="15"/>
    </row>
    <row r="306" spans="1:21">
      <c r="A306" s="15"/>
      <c r="B306" s="15"/>
      <c r="C306" s="15"/>
      <c r="D306" s="15"/>
      <c r="E306" s="15"/>
      <c r="F306" s="15"/>
      <c r="G306" s="15"/>
      <c r="H306" s="15"/>
      <c r="J306" s="14" t="s">
        <v>131</v>
      </c>
      <c r="K306" s="15">
        <v>2.76</v>
      </c>
      <c r="L306" s="15">
        <v>17.28</v>
      </c>
      <c r="M306" s="15">
        <v>3.78</v>
      </c>
      <c r="N306" s="15">
        <v>2.69</v>
      </c>
      <c r="O306" s="15"/>
      <c r="P306" s="15">
        <v>2.0099999999999998</v>
      </c>
      <c r="Q306" s="15"/>
      <c r="R306" s="106">
        <v>304</v>
      </c>
      <c r="S306" s="15"/>
      <c r="T306" s="15"/>
      <c r="U306" s="15"/>
    </row>
    <row r="307" spans="1:21">
      <c r="A307" s="15"/>
      <c r="B307" s="15"/>
      <c r="C307" s="15"/>
      <c r="D307" s="15"/>
      <c r="E307" s="15"/>
      <c r="F307" s="15"/>
      <c r="G307" s="15"/>
      <c r="H307" s="15"/>
      <c r="J307" s="14" t="s">
        <v>132</v>
      </c>
      <c r="K307" s="15">
        <v>2.74</v>
      </c>
      <c r="L307" s="105">
        <f t="shared" ref="L307:L318" si="100">L306+(L306*(RATE(($R$319-$R$306),0,L$306,-L$319)))</f>
        <v>16.930600586849863</v>
      </c>
      <c r="M307" s="15">
        <v>3.76</v>
      </c>
      <c r="N307" s="15">
        <v>2.63</v>
      </c>
      <c r="O307" s="15"/>
      <c r="P307" s="15">
        <v>2</v>
      </c>
      <c r="Q307" s="15"/>
      <c r="R307" s="106">
        <v>305</v>
      </c>
      <c r="S307" s="15"/>
      <c r="T307" s="15"/>
      <c r="U307" s="15"/>
    </row>
    <row r="308" spans="1:21">
      <c r="A308" s="15"/>
      <c r="B308" s="15"/>
      <c r="C308" s="15"/>
      <c r="D308" s="15"/>
      <c r="E308" s="15"/>
      <c r="F308" s="15"/>
      <c r="G308" s="15"/>
      <c r="H308" s="15"/>
      <c r="J308" s="14" t="s">
        <v>133</v>
      </c>
      <c r="K308" s="15">
        <v>2.73</v>
      </c>
      <c r="L308" s="105">
        <f t="shared" si="100"/>
        <v>16.588265985615795</v>
      </c>
      <c r="M308" s="15">
        <v>3.7</v>
      </c>
      <c r="N308" s="15">
        <v>2.81</v>
      </c>
      <c r="O308" s="15"/>
      <c r="P308" s="15">
        <v>2.1800000000000002</v>
      </c>
      <c r="Q308" s="15"/>
      <c r="R308" s="106">
        <v>306</v>
      </c>
      <c r="S308" s="15"/>
      <c r="T308" s="15"/>
      <c r="U308" s="15"/>
    </row>
    <row r="309" spans="1:21">
      <c r="A309" s="15"/>
      <c r="B309" s="15"/>
      <c r="C309" s="15"/>
      <c r="D309" s="15"/>
      <c r="E309" s="15"/>
      <c r="F309" s="15"/>
      <c r="G309" s="15"/>
      <c r="H309" s="15"/>
      <c r="J309" s="14" t="s">
        <v>134</v>
      </c>
      <c r="K309" s="15">
        <v>2.59</v>
      </c>
      <c r="L309" s="105">
        <f t="shared" si="100"/>
        <v>16.252853346694931</v>
      </c>
      <c r="M309" s="15">
        <v>3.34</v>
      </c>
      <c r="N309" s="15">
        <v>2.73</v>
      </c>
      <c r="O309" s="15"/>
      <c r="P309" s="15">
        <v>1.97</v>
      </c>
      <c r="Q309" s="15"/>
      <c r="R309" s="106">
        <v>307</v>
      </c>
      <c r="S309" s="15"/>
      <c r="T309" s="15"/>
      <c r="U309" s="15"/>
    </row>
    <row r="310" spans="1:21">
      <c r="A310" s="15"/>
      <c r="B310" s="15"/>
      <c r="C310" s="15"/>
      <c r="D310" s="15"/>
      <c r="E310" s="15"/>
      <c r="F310" s="15"/>
      <c r="G310" s="15"/>
      <c r="H310" s="15"/>
      <c r="J310" s="14" t="s">
        <v>135</v>
      </c>
      <c r="K310" s="15">
        <v>2.68</v>
      </c>
      <c r="L310" s="105">
        <f t="shared" si="100"/>
        <v>15.924222708885297</v>
      </c>
      <c r="M310" s="15">
        <v>3.45</v>
      </c>
      <c r="N310" s="15">
        <v>2.81</v>
      </c>
      <c r="O310" s="15"/>
      <c r="P310" s="15">
        <v>2.04</v>
      </c>
      <c r="Q310" s="15"/>
      <c r="R310" s="106">
        <v>308</v>
      </c>
      <c r="S310" s="15"/>
      <c r="T310" s="15"/>
      <c r="U310" s="15"/>
    </row>
    <row r="311" spans="1:21">
      <c r="A311" s="15"/>
      <c r="B311" s="15"/>
      <c r="C311" s="15"/>
      <c r="D311" s="15"/>
      <c r="E311" s="15"/>
      <c r="F311" s="15"/>
      <c r="G311" s="15"/>
      <c r="H311" s="15"/>
      <c r="J311" s="14" t="s">
        <v>136</v>
      </c>
      <c r="K311" s="15">
        <v>2.72</v>
      </c>
      <c r="L311" s="105">
        <f>L310+(L310*(RATE(($R$319-$R$306),0,L$306,-L$319)))</f>
        <v>15.602236940982715</v>
      </c>
      <c r="M311" s="15">
        <v>3.5</v>
      </c>
      <c r="N311" s="15">
        <v>2.85</v>
      </c>
      <c r="O311" s="15"/>
      <c r="P311" s="15">
        <v>2.0699999999999998</v>
      </c>
      <c r="Q311" s="15"/>
      <c r="R311" s="106">
        <v>309</v>
      </c>
      <c r="S311" s="15"/>
      <c r="T311" s="15"/>
      <c r="U311" s="15"/>
    </row>
    <row r="312" spans="1:21">
      <c r="A312" s="15"/>
      <c r="B312" s="15"/>
      <c r="C312" s="15"/>
      <c r="D312" s="15"/>
      <c r="E312" s="15"/>
      <c r="F312" s="15"/>
      <c r="G312" s="15"/>
      <c r="H312" s="15"/>
      <c r="J312" s="14" t="s">
        <v>192</v>
      </c>
      <c r="K312" s="15">
        <v>3.16</v>
      </c>
      <c r="L312" s="105">
        <f t="shared" si="100"/>
        <v>15.286761684558599</v>
      </c>
      <c r="M312" s="15">
        <v>3.48</v>
      </c>
      <c r="N312" s="15">
        <v>2.83</v>
      </c>
      <c r="O312" s="15"/>
      <c r="P312" s="15">
        <v>2.06</v>
      </c>
      <c r="Q312" s="15"/>
      <c r="R312" s="106">
        <v>310</v>
      </c>
      <c r="S312" s="15"/>
      <c r="T312" s="15"/>
      <c r="U312" s="15"/>
    </row>
    <row r="313" spans="1:21">
      <c r="A313" s="15"/>
      <c r="B313" s="15"/>
      <c r="C313" s="15"/>
      <c r="D313" s="15"/>
      <c r="E313" s="15"/>
      <c r="F313" s="15"/>
      <c r="G313" s="15"/>
      <c r="H313" s="15"/>
      <c r="J313" s="14" t="s">
        <v>193</v>
      </c>
      <c r="K313" s="15">
        <v>3.24</v>
      </c>
      <c r="L313" s="105">
        <f t="shared" si="100"/>
        <v>14.977665297894781</v>
      </c>
      <c r="M313" s="15">
        <v>3.57</v>
      </c>
      <c r="N313" s="105">
        <f t="shared" ref="N313:N328" si="101">N312+(N312*(RATE(($R$329-$R$312),0,N$312,-N$329)))</f>
        <v>2.830587259374246</v>
      </c>
      <c r="O313" s="15"/>
      <c r="P313" s="105">
        <f t="shared" ref="P313:P318" si="102">P312+(P312*(RATE(($R$319-$R$312),0,P$312,-P$319)))</f>
        <v>1.9939810393912663</v>
      </c>
      <c r="Q313" s="15"/>
      <c r="R313" s="106">
        <v>311</v>
      </c>
      <c r="S313" s="15"/>
      <c r="T313" s="15"/>
      <c r="U313" s="15"/>
    </row>
    <row r="314" spans="1:21">
      <c r="A314" s="15"/>
      <c r="B314" s="15"/>
      <c r="C314" s="15"/>
      <c r="D314" s="15"/>
      <c r="E314" s="15"/>
      <c r="F314" s="15"/>
      <c r="G314" s="15"/>
      <c r="H314" s="15"/>
      <c r="J314" s="14" t="s">
        <v>194</v>
      </c>
      <c r="K314" s="15">
        <v>2.99</v>
      </c>
      <c r="L314" s="105">
        <f t="shared" si="100"/>
        <v>14.674818801051979</v>
      </c>
      <c r="M314" s="15">
        <v>4.04</v>
      </c>
      <c r="N314" s="105">
        <f t="shared" si="101"/>
        <v>2.8311746406119451</v>
      </c>
      <c r="O314" s="15"/>
      <c r="P314" s="105">
        <f t="shared" si="102"/>
        <v>1.9300778570154731</v>
      </c>
      <c r="Q314" s="15"/>
      <c r="R314" s="106">
        <v>312</v>
      </c>
      <c r="S314" s="15"/>
      <c r="T314" s="15"/>
      <c r="U314" s="15"/>
    </row>
    <row r="315" spans="1:21">
      <c r="A315" s="15"/>
      <c r="B315" s="15"/>
      <c r="C315" s="15"/>
      <c r="D315" s="15"/>
      <c r="E315" s="15"/>
      <c r="F315" s="15"/>
      <c r="G315" s="15"/>
      <c r="H315" s="15"/>
      <c r="I315" s="4">
        <f t="shared" ref="I315" si="103">I303+1</f>
        <v>1889</v>
      </c>
      <c r="J315" s="14" t="s">
        <v>96</v>
      </c>
      <c r="K315" s="15">
        <v>2.81</v>
      </c>
      <c r="L315" s="105">
        <f t="shared" si="100"/>
        <v>14.378095822048961</v>
      </c>
      <c r="M315" s="15">
        <v>3.8</v>
      </c>
      <c r="N315" s="105">
        <f t="shared" si="101"/>
        <v>2.8317621437383855</v>
      </c>
      <c r="O315" s="15"/>
      <c r="P315" s="105">
        <f t="shared" si="102"/>
        <v>1.8682226463290199</v>
      </c>
      <c r="Q315" s="15"/>
      <c r="R315" s="106">
        <v>313</v>
      </c>
      <c r="S315" s="15"/>
      <c r="T315" s="15"/>
      <c r="U315" s="15"/>
    </row>
    <row r="316" spans="1:21">
      <c r="A316" s="15"/>
      <c r="B316" s="15"/>
      <c r="C316" s="15"/>
      <c r="D316" s="15"/>
      <c r="E316" s="15"/>
      <c r="F316" s="15"/>
      <c r="G316" s="15"/>
      <c r="H316" s="15"/>
      <c r="J316" s="14" t="s">
        <v>97</v>
      </c>
      <c r="K316" s="15">
        <v>2.74</v>
      </c>
      <c r="L316" s="105">
        <f t="shared" si="100"/>
        <v>14.087372544129959</v>
      </c>
      <c r="M316" s="15">
        <v>3.7</v>
      </c>
      <c r="N316" s="105">
        <f t="shared" si="101"/>
        <v>2.8323497687788608</v>
      </c>
      <c r="O316" s="15"/>
      <c r="P316" s="105">
        <f>P315+(P315*(RATE(($R$319-$R$312),0,P$312,-P$319)))</f>
        <v>1.8083497738550685</v>
      </c>
      <c r="Q316" s="15"/>
      <c r="R316" s="106">
        <v>314</v>
      </c>
      <c r="S316" s="15"/>
      <c r="T316" s="15"/>
      <c r="U316" s="15"/>
    </row>
    <row r="317" spans="1:21">
      <c r="A317" s="15"/>
      <c r="B317" s="15"/>
      <c r="C317" s="15"/>
      <c r="D317" s="15"/>
      <c r="E317" s="15"/>
      <c r="F317" s="15"/>
      <c r="G317" s="15"/>
      <c r="H317" s="15"/>
      <c r="J317" s="14" t="s">
        <v>130</v>
      </c>
      <c r="K317" s="15">
        <v>2.86</v>
      </c>
      <c r="L317" s="105">
        <f t="shared" si="100"/>
        <v>13.802527654098341</v>
      </c>
      <c r="M317" s="15">
        <v>3.63</v>
      </c>
      <c r="N317" s="105">
        <f>N316+(N316*(RATE(($R$329-$R$312),0,N$312,-N$329)))</f>
        <v>2.8329375157586694</v>
      </c>
      <c r="O317" s="15"/>
      <c r="P317" s="105">
        <f t="shared" si="102"/>
        <v>1.750395709541015</v>
      </c>
      <c r="Q317" s="15"/>
      <c r="R317" s="106">
        <v>315</v>
      </c>
      <c r="S317" s="15"/>
      <c r="T317" s="15"/>
      <c r="U317" s="15"/>
    </row>
    <row r="318" spans="1:21">
      <c r="A318" s="15"/>
      <c r="B318" s="15"/>
      <c r="C318" s="15"/>
      <c r="D318" s="15"/>
      <c r="E318" s="15"/>
      <c r="F318" s="15"/>
      <c r="G318" s="15"/>
      <c r="H318" s="15"/>
      <c r="J318" s="14" t="s">
        <v>131</v>
      </c>
      <c r="K318" s="15">
        <v>3.01</v>
      </c>
      <c r="L318" s="105">
        <f t="shared" si="100"/>
        <v>13.523442291694955</v>
      </c>
      <c r="M318" s="15">
        <v>3.77</v>
      </c>
      <c r="N318" s="105">
        <f t="shared" si="101"/>
        <v>2.8335253847031154</v>
      </c>
      <c r="O318" s="15"/>
      <c r="P318" s="105">
        <f t="shared" si="102"/>
        <v>1.694298959347867</v>
      </c>
      <c r="Q318" s="15"/>
      <c r="R318" s="106">
        <v>316</v>
      </c>
      <c r="S318" s="15"/>
      <c r="T318" s="15"/>
      <c r="U318" s="15"/>
    </row>
    <row r="319" spans="1:21">
      <c r="A319" s="15"/>
      <c r="B319" s="15"/>
      <c r="C319" s="15"/>
      <c r="D319" s="15"/>
      <c r="E319" s="15"/>
      <c r="F319" s="15"/>
      <c r="G319" s="15"/>
      <c r="H319" s="15"/>
      <c r="J319" s="14" t="s">
        <v>132</v>
      </c>
      <c r="K319" s="15">
        <v>3.03</v>
      </c>
      <c r="L319" s="15">
        <v>13.25</v>
      </c>
      <c r="M319" s="15">
        <v>3.76</v>
      </c>
      <c r="N319" s="105">
        <f t="shared" si="101"/>
        <v>2.8341133756375081</v>
      </c>
      <c r="O319" s="15"/>
      <c r="P319" s="15">
        <v>1.64</v>
      </c>
      <c r="Q319" s="15"/>
      <c r="R319" s="106">
        <v>317</v>
      </c>
      <c r="S319" s="15"/>
      <c r="T319" s="15"/>
      <c r="U319" s="15"/>
    </row>
    <row r="320" spans="1:21">
      <c r="A320" s="15"/>
      <c r="B320" s="15"/>
      <c r="C320" s="15"/>
      <c r="D320" s="15"/>
      <c r="E320" s="15"/>
      <c r="F320" s="15"/>
      <c r="G320" s="15"/>
      <c r="H320" s="15"/>
      <c r="J320" s="14" t="s">
        <v>133</v>
      </c>
      <c r="K320" s="15">
        <v>2.92</v>
      </c>
      <c r="L320" s="15">
        <v>13.37</v>
      </c>
      <c r="M320" s="15">
        <v>3.59</v>
      </c>
      <c r="N320" s="105">
        <f t="shared" si="101"/>
        <v>2.8347014885871613</v>
      </c>
      <c r="O320" s="15"/>
      <c r="P320" s="15">
        <v>1.58</v>
      </c>
      <c r="Q320" s="15"/>
      <c r="R320" s="106">
        <v>318</v>
      </c>
      <c r="S320" s="15"/>
      <c r="T320" s="15"/>
      <c r="U320" s="15"/>
    </row>
    <row r="321" spans="1:21">
      <c r="A321" s="15"/>
      <c r="B321" s="15"/>
      <c r="C321" s="15"/>
      <c r="D321" s="15"/>
      <c r="E321" s="15"/>
      <c r="F321" s="15"/>
      <c r="G321" s="15"/>
      <c r="H321" s="15"/>
      <c r="J321" s="14" t="s">
        <v>134</v>
      </c>
      <c r="K321" s="15">
        <v>2.78</v>
      </c>
      <c r="L321" s="15">
        <v>13.37</v>
      </c>
      <c r="M321" s="15">
        <v>3.42</v>
      </c>
      <c r="N321" s="105">
        <f t="shared" si="101"/>
        <v>2.8352897235773953</v>
      </c>
      <c r="O321" s="15"/>
      <c r="P321" s="15">
        <v>1.51</v>
      </c>
      <c r="Q321" s="15"/>
      <c r="R321" s="106">
        <v>319</v>
      </c>
      <c r="S321" s="15"/>
      <c r="T321" s="15"/>
      <c r="U321" s="15"/>
    </row>
    <row r="322" spans="1:21">
      <c r="A322" s="15"/>
      <c r="B322" s="15"/>
      <c r="C322" s="15"/>
      <c r="D322" s="15"/>
      <c r="E322" s="15"/>
      <c r="F322" s="15"/>
      <c r="G322" s="15"/>
      <c r="H322" s="15"/>
      <c r="J322" s="14" t="s">
        <v>135</v>
      </c>
      <c r="K322" s="105">
        <f>K321+(K321*(RATE(($R$325-$R$321),0,K$321,-K$325)))</f>
        <v>2.9447647651430691</v>
      </c>
      <c r="L322" s="105">
        <f t="shared" ref="L322:L329" si="104">L321+(L321*(RATE(($R$330-$R$321),0,L$321,-L$330)))</f>
        <v>13.37</v>
      </c>
      <c r="M322" s="105">
        <f t="shared" ref="M322:M328" si="105">M321+(M321*(RATE(($R$329-$R$321),0,M$321,-M$329)))</f>
        <v>3.4919700761657868</v>
      </c>
      <c r="N322" s="105">
        <f t="shared" si="101"/>
        <v>2.8358780806335346</v>
      </c>
      <c r="O322" s="15"/>
      <c r="P322" s="15">
        <v>1.44</v>
      </c>
      <c r="Q322" s="15"/>
      <c r="R322" s="106">
        <v>320</v>
      </c>
      <c r="S322" s="15"/>
      <c r="T322" s="15"/>
      <c r="U322" s="15"/>
    </row>
    <row r="323" spans="1:21">
      <c r="A323" s="15"/>
      <c r="B323" s="15"/>
      <c r="C323" s="15"/>
      <c r="D323" s="15"/>
      <c r="E323" s="15"/>
      <c r="F323" s="15"/>
      <c r="G323" s="15"/>
      <c r="H323" s="15"/>
      <c r="J323" s="14" t="s">
        <v>136</v>
      </c>
      <c r="K323" s="105">
        <f>K322+(K322*(RATE(($R$325-$R$321),0,K$321,-K$325)))</f>
        <v>3.1192947920964444</v>
      </c>
      <c r="L323" s="105">
        <f t="shared" si="104"/>
        <v>13.37</v>
      </c>
      <c r="M323" s="105">
        <f t="shared" si="105"/>
        <v>3.565454682116167</v>
      </c>
      <c r="N323" s="105">
        <f t="shared" si="101"/>
        <v>2.8364665597809093</v>
      </c>
      <c r="O323" s="15"/>
      <c r="P323" s="15">
        <v>1.28</v>
      </c>
      <c r="Q323" s="15"/>
      <c r="R323" s="106">
        <v>321</v>
      </c>
      <c r="S323" s="15"/>
      <c r="T323" s="15"/>
      <c r="U323" s="15"/>
    </row>
    <row r="324" spans="1:21">
      <c r="A324" s="15"/>
      <c r="B324" s="15"/>
      <c r="C324" s="15"/>
      <c r="D324" s="15"/>
      <c r="E324" s="15"/>
      <c r="F324" s="15"/>
      <c r="G324" s="15"/>
      <c r="H324" s="15"/>
      <c r="J324" s="14" t="s">
        <v>192</v>
      </c>
      <c r="K324" s="105">
        <f>K323+(K323*(RATE(($R$325-$R$321),0,K$321,-K$325)))</f>
        <v>3.3041688474316135</v>
      </c>
      <c r="L324" s="105">
        <f>L323+(L323*(RATE(($R$330-$R$321),0,L$321,-L$330)))</f>
        <v>13.37</v>
      </c>
      <c r="M324" s="105">
        <f t="shared" si="105"/>
        <v>3.6404856894370918</v>
      </c>
      <c r="N324" s="105">
        <f t="shared" si="101"/>
        <v>2.8370551610448551</v>
      </c>
      <c r="O324" s="15"/>
      <c r="P324" s="15">
        <v>1.17</v>
      </c>
      <c r="Q324" s="15"/>
      <c r="R324" s="106">
        <v>322</v>
      </c>
      <c r="S324" s="15"/>
      <c r="T324" s="15"/>
      <c r="U324" s="15"/>
    </row>
    <row r="325" spans="1:21">
      <c r="A325" s="15"/>
      <c r="B325" s="15"/>
      <c r="C325" s="15"/>
      <c r="D325" s="15"/>
      <c r="E325" s="15"/>
      <c r="F325" s="15"/>
      <c r="G325" s="15"/>
      <c r="H325" s="15"/>
      <c r="J325" s="14" t="s">
        <v>193</v>
      </c>
      <c r="K325" s="15">
        <v>3.5</v>
      </c>
      <c r="L325" s="105">
        <f t="shared" si="104"/>
        <v>13.37</v>
      </c>
      <c r="M325" s="105">
        <f>M324+(M324*(RATE(($R$329-$R$321),0,M$321,-M$329)))</f>
        <v>3.7170956404164035</v>
      </c>
      <c r="N325" s="105">
        <f t="shared" si="101"/>
        <v>2.8376438844507126</v>
      </c>
      <c r="O325" s="15"/>
      <c r="P325" s="15">
        <v>1.1200000000000001</v>
      </c>
      <c r="Q325" s="15"/>
      <c r="R325" s="106">
        <v>323</v>
      </c>
      <c r="S325" s="15"/>
      <c r="T325" s="15"/>
      <c r="U325" s="15"/>
    </row>
    <row r="326" spans="1:21">
      <c r="A326" s="15"/>
      <c r="B326" s="15"/>
      <c r="C326" s="15"/>
      <c r="D326" s="15"/>
      <c r="E326" s="15"/>
      <c r="F326" s="15"/>
      <c r="G326" s="15"/>
      <c r="H326" s="15"/>
      <c r="J326" s="14" t="s">
        <v>194</v>
      </c>
      <c r="K326" s="15">
        <v>3.29</v>
      </c>
      <c r="L326" s="105">
        <f t="shared" si="104"/>
        <v>13.37</v>
      </c>
      <c r="M326" s="105">
        <f t="shared" si="105"/>
        <v>3.7953177621580068</v>
      </c>
      <c r="N326" s="105">
        <f t="shared" si="101"/>
        <v>2.8382327300238277</v>
      </c>
      <c r="O326" s="15"/>
      <c r="P326" s="15">
        <v>1.22</v>
      </c>
      <c r="Q326" s="15"/>
      <c r="R326" s="106">
        <v>324</v>
      </c>
      <c r="S326" s="15"/>
      <c r="T326" s="15"/>
      <c r="U326" s="15"/>
    </row>
    <row r="327" spans="1:21">
      <c r="A327" s="15"/>
      <c r="B327" s="15"/>
      <c r="C327" s="15"/>
      <c r="D327" s="15"/>
      <c r="E327" s="15"/>
      <c r="F327" s="15"/>
      <c r="G327" s="15"/>
      <c r="H327" s="15"/>
      <c r="I327" s="4">
        <f t="shared" ref="I327" si="106">I315+1</f>
        <v>1890</v>
      </c>
      <c r="J327" s="14" t="s">
        <v>96</v>
      </c>
      <c r="K327" s="15">
        <v>3.5</v>
      </c>
      <c r="L327" s="105">
        <f t="shared" si="104"/>
        <v>13.37</v>
      </c>
      <c r="M327" s="105">
        <f t="shared" si="105"/>
        <v>3.8751859809930584</v>
      </c>
      <c r="N327" s="105">
        <f t="shared" si="101"/>
        <v>2.8388216977895513</v>
      </c>
      <c r="O327" s="15"/>
      <c r="P327" s="15">
        <v>1.2</v>
      </c>
      <c r="Q327" s="15"/>
      <c r="R327" s="106">
        <v>325</v>
      </c>
      <c r="S327" s="15"/>
      <c r="T327" s="15"/>
      <c r="U327" s="15"/>
    </row>
    <row r="328" spans="1:21">
      <c r="A328" s="15"/>
      <c r="B328" s="15"/>
      <c r="C328" s="15"/>
      <c r="D328" s="15"/>
      <c r="E328" s="15"/>
      <c r="F328" s="15"/>
      <c r="G328" s="15"/>
      <c r="H328" s="15"/>
      <c r="J328" s="14" t="s">
        <v>97</v>
      </c>
      <c r="K328" s="15">
        <v>3.18</v>
      </c>
      <c r="L328" s="105">
        <f t="shared" si="104"/>
        <v>13.37</v>
      </c>
      <c r="M328" s="105">
        <f t="shared" si="105"/>
        <v>3.9567349371944212</v>
      </c>
      <c r="N328" s="105">
        <f t="shared" si="101"/>
        <v>2.8394107877732404</v>
      </c>
      <c r="O328" s="15"/>
      <c r="P328" s="15">
        <v>1.2</v>
      </c>
      <c r="Q328" s="15"/>
      <c r="R328" s="106">
        <v>326</v>
      </c>
      <c r="S328" s="15"/>
      <c r="T328" s="15"/>
      <c r="U328" s="15"/>
    </row>
    <row r="329" spans="1:21">
      <c r="A329" s="15"/>
      <c r="B329" s="15"/>
      <c r="C329" s="15"/>
      <c r="D329" s="15"/>
      <c r="E329" s="15"/>
      <c r="F329" s="15"/>
      <c r="G329" s="15"/>
      <c r="H329" s="15"/>
      <c r="J329" s="14" t="s">
        <v>130</v>
      </c>
      <c r="K329" s="15">
        <v>3.33</v>
      </c>
      <c r="L329" s="105">
        <f t="shared" si="104"/>
        <v>13.37</v>
      </c>
      <c r="M329" s="15">
        <v>4.04</v>
      </c>
      <c r="N329" s="15">
        <v>2.84</v>
      </c>
      <c r="O329" s="15"/>
      <c r="P329" s="15">
        <v>1.02</v>
      </c>
      <c r="Q329" s="15"/>
      <c r="R329" s="106">
        <v>327</v>
      </c>
      <c r="S329" s="15"/>
      <c r="T329" s="15"/>
      <c r="U329" s="15"/>
    </row>
    <row r="330" spans="1:21">
      <c r="A330" s="15"/>
      <c r="B330" s="15"/>
      <c r="C330" s="15"/>
      <c r="D330" s="15"/>
      <c r="E330" s="15"/>
      <c r="F330" s="15"/>
      <c r="G330" s="15"/>
      <c r="H330" s="15"/>
      <c r="J330" s="14" t="s">
        <v>131</v>
      </c>
      <c r="K330" s="15">
        <v>3.36</v>
      </c>
      <c r="L330" s="15">
        <v>13.37</v>
      </c>
      <c r="M330" s="15">
        <v>3.87</v>
      </c>
      <c r="N330" s="15">
        <v>2.78</v>
      </c>
      <c r="O330" s="15"/>
      <c r="P330" s="15">
        <v>1.06</v>
      </c>
      <c r="Q330" s="15"/>
      <c r="R330" s="106">
        <v>328</v>
      </c>
      <c r="S330" s="15"/>
      <c r="T330" s="15"/>
      <c r="U330" s="15"/>
    </row>
    <row r="331" spans="1:21">
      <c r="A331" s="15"/>
      <c r="B331" s="15"/>
      <c r="C331" s="15"/>
      <c r="D331" s="15"/>
      <c r="E331" s="15"/>
      <c r="F331" s="15"/>
      <c r="G331" s="15"/>
      <c r="H331" s="15"/>
      <c r="J331" s="14" t="s">
        <v>132</v>
      </c>
      <c r="K331" s="15">
        <v>2.76</v>
      </c>
      <c r="L331" s="15">
        <v>13.18</v>
      </c>
      <c r="M331" s="15">
        <v>4.41</v>
      </c>
      <c r="N331" s="105">
        <f>N330+(N330*(RATE(($R$333-$R$330),0,N$330,-N$333)))</f>
        <v>2.952418661846731</v>
      </c>
      <c r="O331" s="15"/>
      <c r="P331" s="15">
        <v>1.1499999999999999</v>
      </c>
      <c r="Q331" s="15"/>
      <c r="R331" s="106">
        <v>329</v>
      </c>
      <c r="S331" s="15"/>
      <c r="T331" s="15"/>
      <c r="U331" s="15"/>
    </row>
    <row r="332" spans="1:21">
      <c r="A332" s="15"/>
      <c r="B332" s="15"/>
      <c r="C332" s="15"/>
      <c r="D332" s="15"/>
      <c r="E332" s="15"/>
      <c r="F332" s="15"/>
      <c r="G332" s="15"/>
      <c r="H332" s="15"/>
      <c r="J332" s="14" t="s">
        <v>133</v>
      </c>
      <c r="K332" s="15">
        <v>2.34</v>
      </c>
      <c r="L332" s="15">
        <v>13</v>
      </c>
      <c r="M332" s="15">
        <v>4.2300000000000004</v>
      </c>
      <c r="N332" s="105">
        <f>N331+(N331*(RATE(($R$333-$R$330),0,N$330,-N$333)))</f>
        <v>3.1355309190003027</v>
      </c>
      <c r="O332" s="15"/>
      <c r="P332" s="15">
        <v>1.31</v>
      </c>
      <c r="Q332" s="15"/>
      <c r="R332" s="106">
        <v>330</v>
      </c>
      <c r="S332" s="15"/>
      <c r="T332" s="15"/>
      <c r="U332" s="15"/>
    </row>
    <row r="333" spans="1:21">
      <c r="A333" s="15"/>
      <c r="B333" s="15"/>
      <c r="C333" s="15"/>
      <c r="D333" s="15"/>
      <c r="E333" s="15"/>
      <c r="F333" s="15"/>
      <c r="G333" s="15"/>
      <c r="H333" s="15"/>
      <c r="J333" s="14" t="s">
        <v>134</v>
      </c>
      <c r="K333" s="105">
        <f>K332+(K332*(RATE(($R$336-$R$332),0,K$332,-K$336)))</f>
        <v>2.6060786494591421</v>
      </c>
      <c r="L333" s="15">
        <v>13</v>
      </c>
      <c r="M333" s="15">
        <v>3.74</v>
      </c>
      <c r="N333" s="15">
        <v>3.33</v>
      </c>
      <c r="O333" s="15"/>
      <c r="P333" s="15">
        <v>1.31</v>
      </c>
      <c r="Q333" s="15"/>
      <c r="R333" s="106">
        <v>331</v>
      </c>
      <c r="S333" s="15"/>
      <c r="T333" s="15"/>
      <c r="U333" s="15"/>
    </row>
    <row r="334" spans="1:21">
      <c r="A334" s="15"/>
      <c r="B334" s="15"/>
      <c r="C334" s="15"/>
      <c r="D334" s="15"/>
      <c r="E334" s="15"/>
      <c r="F334" s="15"/>
      <c r="G334" s="15"/>
      <c r="H334" s="15"/>
      <c r="J334" s="14" t="s">
        <v>135</v>
      </c>
      <c r="K334" s="105">
        <f>K333+(K333*(RATE(($R$336-$R$332),0,K$332,-K$336)))</f>
        <v>2.9024127893875158</v>
      </c>
      <c r="L334" s="15">
        <v>13</v>
      </c>
      <c r="M334" s="105">
        <f>M333+(M333*(RATE(($R$340-$R$333),0,M$333,-M$340)))</f>
        <v>3.8037849732780828</v>
      </c>
      <c r="N334" s="105">
        <f t="shared" ref="N334:N338" si="107">N333+(N333*(RATE(($R$339-$R$333),0,N$333,-N$339)))</f>
        <v>3.2780127064016145</v>
      </c>
      <c r="O334" s="15"/>
      <c r="P334" s="15">
        <v>1.47</v>
      </c>
      <c r="Q334" s="15"/>
      <c r="R334" s="106">
        <v>332</v>
      </c>
      <c r="S334" s="15"/>
      <c r="T334" s="15"/>
      <c r="U334" s="15"/>
    </row>
    <row r="335" spans="1:21">
      <c r="A335" s="15"/>
      <c r="B335" s="15"/>
      <c r="C335" s="15"/>
      <c r="D335" s="15"/>
      <c r="E335" s="15"/>
      <c r="F335" s="15"/>
      <c r="G335" s="15"/>
      <c r="H335" s="15"/>
      <c r="J335" s="14" t="s">
        <v>136</v>
      </c>
      <c r="K335" s="105">
        <f>K334+(K334*(RATE(($R$336-$R$332),0,K$332,-K$336)))</f>
        <v>3.2324427360427177</v>
      </c>
      <c r="L335" s="15">
        <v>13</v>
      </c>
      <c r="M335" s="105">
        <f>M334+(M334*(RATE(($R$340-$R$333),0,M$333,-M$340)))</f>
        <v>3.8686577868813221</v>
      </c>
      <c r="N335" s="105">
        <f t="shared" si="107"/>
        <v>3.2268370280271581</v>
      </c>
      <c r="O335" s="15"/>
      <c r="P335" s="15">
        <v>1.64</v>
      </c>
      <c r="Q335" s="15"/>
      <c r="R335" s="106">
        <v>333</v>
      </c>
      <c r="S335" s="15"/>
      <c r="T335" s="15"/>
      <c r="U335" s="15"/>
    </row>
    <row r="336" spans="1:21">
      <c r="A336" s="15"/>
      <c r="B336" s="15"/>
      <c r="C336" s="15"/>
      <c r="D336" s="15"/>
      <c r="E336" s="15"/>
      <c r="F336" s="15"/>
      <c r="G336" s="15"/>
      <c r="H336" s="15"/>
      <c r="J336" s="14" t="s">
        <v>192</v>
      </c>
      <c r="K336" s="15">
        <v>3.6</v>
      </c>
      <c r="L336" s="105">
        <f t="shared" ref="L336:L343" si="108">L335+(L335*(RATE(($R$344-$R$335),0,L$335,-L$344)))</f>
        <v>12.931924697951409</v>
      </c>
      <c r="M336" s="105">
        <f t="shared" ref="M336:M339" si="109">M335+(M335*(RATE(($R$340-$R$333),0,M$333,-M$340)))</f>
        <v>3.9346369937150842</v>
      </c>
      <c r="N336" s="105">
        <f>N335+(N335*(RATE(($R$339-$R$333),0,N$333,-N$339)))</f>
        <v>3.176460294102176</v>
      </c>
      <c r="O336" s="15"/>
      <c r="P336" s="15">
        <v>1.7</v>
      </c>
      <c r="Q336" s="15"/>
      <c r="R336" s="106">
        <v>334</v>
      </c>
      <c r="S336" s="15"/>
      <c r="T336" s="15"/>
      <c r="U336" s="15"/>
    </row>
    <row r="337" spans="1:21">
      <c r="A337" s="15"/>
      <c r="B337" s="15"/>
      <c r="C337" s="15"/>
      <c r="D337" s="15"/>
      <c r="E337" s="15"/>
      <c r="F337" s="15"/>
      <c r="G337" s="15"/>
      <c r="H337" s="15"/>
      <c r="J337" s="14" t="s">
        <v>193</v>
      </c>
      <c r="K337" s="15">
        <v>3.23</v>
      </c>
      <c r="L337" s="105">
        <f t="shared" si="108"/>
        <v>12.864205876421973</v>
      </c>
      <c r="M337" s="105">
        <f t="shared" si="109"/>
        <v>4.0017414631009318</v>
      </c>
      <c r="N337" s="105">
        <f t="shared" si="107"/>
        <v>3.1268700316658085</v>
      </c>
      <c r="O337" s="15"/>
      <c r="P337" s="15">
        <v>1.81</v>
      </c>
      <c r="Q337" s="15"/>
      <c r="R337" s="106">
        <v>335</v>
      </c>
      <c r="S337" s="15"/>
      <c r="T337" s="15"/>
      <c r="U337" s="15"/>
    </row>
    <row r="338" spans="1:21">
      <c r="A338" s="15"/>
      <c r="B338" s="15"/>
      <c r="C338" s="15"/>
      <c r="D338" s="15"/>
      <c r="E338" s="15"/>
      <c r="F338" s="15"/>
      <c r="G338" s="15"/>
      <c r="H338" s="15"/>
      <c r="J338" s="14" t="s">
        <v>194</v>
      </c>
      <c r="K338" s="15">
        <v>2.95</v>
      </c>
      <c r="L338" s="105">
        <f>L337+(L337*(RATE(($R$344-$R$335),0,L$335,-L$344)))</f>
        <v>12.796841668679459</v>
      </c>
      <c r="M338" s="105">
        <f t="shared" si="109"/>
        <v>4.0699903861730409</v>
      </c>
      <c r="N338" s="105">
        <f t="shared" si="107"/>
        <v>3.078053962482564</v>
      </c>
      <c r="O338" s="15"/>
      <c r="P338" s="15">
        <v>1.97</v>
      </c>
      <c r="Q338" s="15"/>
      <c r="R338" s="106">
        <v>336</v>
      </c>
      <c r="S338" s="15"/>
      <c r="T338" s="15"/>
      <c r="U338" s="15"/>
    </row>
    <row r="339" spans="1:21">
      <c r="A339" s="15"/>
      <c r="B339" s="15"/>
      <c r="C339" s="15"/>
      <c r="D339" s="15"/>
      <c r="E339" s="15"/>
      <c r="F339" s="15"/>
      <c r="G339" s="15"/>
      <c r="H339" s="15"/>
      <c r="I339" s="4">
        <f t="shared" ref="I339" si="110">I327+1</f>
        <v>1891</v>
      </c>
      <c r="J339" s="14" t="s">
        <v>96</v>
      </c>
      <c r="K339" s="15">
        <v>2.87</v>
      </c>
      <c r="L339" s="105">
        <f t="shared" si="108"/>
        <v>12.729830217766894</v>
      </c>
      <c r="M339" s="105">
        <f t="shared" si="109"/>
        <v>4.1394032813666506</v>
      </c>
      <c r="N339" s="15">
        <v>3.03</v>
      </c>
      <c r="O339" s="15"/>
      <c r="P339" s="105">
        <f t="shared" ref="P339:P345" si="111">P338+(P338*(RATE(($R$347-$R$338),0,P$338,-P$347)))</f>
        <v>2.0264191485982459</v>
      </c>
      <c r="Q339" s="15"/>
      <c r="R339" s="106">
        <v>337</v>
      </c>
      <c r="S339" s="15"/>
      <c r="T339" s="15"/>
      <c r="U339" s="15"/>
    </row>
    <row r="340" spans="1:21">
      <c r="A340" s="15"/>
      <c r="B340" s="15"/>
      <c r="C340" s="15"/>
      <c r="D340" s="15"/>
      <c r="E340" s="15"/>
      <c r="F340" s="15"/>
      <c r="G340" s="15"/>
      <c r="H340" s="15"/>
      <c r="J340" s="14" t="s">
        <v>97</v>
      </c>
      <c r="K340" s="15">
        <v>2.82</v>
      </c>
      <c r="L340" s="105">
        <f t="shared" si="108"/>
        <v>12.663169676451375</v>
      </c>
      <c r="M340" s="15">
        <v>4.21</v>
      </c>
      <c r="N340" s="15">
        <v>2.99</v>
      </c>
      <c r="O340" s="15"/>
      <c r="P340" s="105">
        <f t="shared" si="111"/>
        <v>2.0844540943175836</v>
      </c>
      <c r="Q340" s="15"/>
      <c r="R340" s="106">
        <v>338</v>
      </c>
      <c r="S340" s="15"/>
      <c r="T340" s="15"/>
      <c r="U340" s="15"/>
    </row>
    <row r="341" spans="1:21">
      <c r="A341" s="15"/>
      <c r="B341" s="15"/>
      <c r="C341" s="15"/>
      <c r="D341" s="15"/>
      <c r="E341" s="15"/>
      <c r="F341" s="15"/>
      <c r="G341" s="15"/>
      <c r="H341" s="15"/>
      <c r="J341" s="14" t="s">
        <v>130</v>
      </c>
      <c r="K341" s="15">
        <v>3.01</v>
      </c>
      <c r="L341" s="105">
        <f t="shared" si="108"/>
        <v>12.596858207173145</v>
      </c>
      <c r="M341" s="105">
        <f>M340+(M340*(RATE(($R$343-$R$340),0,M$340,-M$343)))</f>
        <v>4.3455864513965956</v>
      </c>
      <c r="N341" s="15">
        <v>2.97</v>
      </c>
      <c r="O341" s="15"/>
      <c r="P341" s="105">
        <f t="shared" si="111"/>
        <v>2.1441511122330787</v>
      </c>
      <c r="Q341" s="15"/>
      <c r="R341" s="106">
        <v>339</v>
      </c>
      <c r="S341" s="15"/>
      <c r="T341" s="15"/>
      <c r="U341" s="15"/>
    </row>
    <row r="342" spans="1:21">
      <c r="A342" s="15"/>
      <c r="B342" s="15"/>
      <c r="C342" s="15"/>
      <c r="D342" s="15"/>
      <c r="E342" s="15"/>
      <c r="F342" s="15"/>
      <c r="G342" s="15"/>
      <c r="H342" s="15"/>
      <c r="J342" s="14" t="s">
        <v>131</v>
      </c>
      <c r="K342" s="15">
        <v>2.41</v>
      </c>
      <c r="L342" s="105">
        <f t="shared" si="108"/>
        <v>12.530893981994947</v>
      </c>
      <c r="M342" s="105">
        <f>M341+(M341*(RATE(($R$343-$R$340),0,M$340,-M$343)))</f>
        <v>4.485539574005144</v>
      </c>
      <c r="N342" s="15">
        <v>4.26</v>
      </c>
      <c r="O342" s="15"/>
      <c r="P342" s="105">
        <f>P341+(P341*(RATE(($R$347-$R$338),0,P$338,-P$347)))</f>
        <v>2.2055578026991562</v>
      </c>
      <c r="Q342" s="15"/>
      <c r="R342" s="106">
        <v>340</v>
      </c>
      <c r="S342" s="15"/>
      <c r="T342" s="15"/>
      <c r="U342" s="15"/>
    </row>
    <row r="343" spans="1:21">
      <c r="A343" s="15"/>
      <c r="B343" s="15"/>
      <c r="C343" s="15"/>
      <c r="D343" s="15"/>
      <c r="E343" s="15"/>
      <c r="F343" s="15"/>
      <c r="G343" s="15"/>
      <c r="H343" s="15"/>
      <c r="J343" s="14" t="s">
        <v>132</v>
      </c>
      <c r="K343" s="15">
        <v>2.58</v>
      </c>
      <c r="L343" s="105">
        <f t="shared" si="108"/>
        <v>12.465275182551625</v>
      </c>
      <c r="M343" s="15">
        <v>4.63</v>
      </c>
      <c r="N343" s="15">
        <v>4.07</v>
      </c>
      <c r="O343" s="15"/>
      <c r="P343" s="105">
        <f t="shared" si="111"/>
        <v>2.2687231293044885</v>
      </c>
      <c r="Q343" s="15"/>
      <c r="R343" s="106">
        <v>341</v>
      </c>
      <c r="S343" s="15"/>
      <c r="T343" s="15"/>
      <c r="U343" s="15"/>
    </row>
    <row r="344" spans="1:21">
      <c r="A344" s="15"/>
      <c r="B344" s="15"/>
      <c r="C344" s="15"/>
      <c r="D344" s="15"/>
      <c r="E344" s="15"/>
      <c r="F344" s="15"/>
      <c r="G344" s="15"/>
      <c r="H344" s="15"/>
      <c r="J344" s="14" t="s">
        <v>133</v>
      </c>
      <c r="K344" s="105">
        <f t="shared" ref="K344:K348" si="112">K343+(K343*(RATE(($R$349-$R$343),0,K$343,-K$349)))</f>
        <v>2.6123050358013309</v>
      </c>
      <c r="L344" s="15">
        <v>12.4</v>
      </c>
      <c r="M344" s="15">
        <v>4.43</v>
      </c>
      <c r="N344" s="15">
        <v>4.0199999999999996</v>
      </c>
      <c r="O344" s="15"/>
      <c r="P344" s="105">
        <f t="shared" si="111"/>
        <v>2.3336974579138832</v>
      </c>
      <c r="Q344" s="15"/>
      <c r="R344" s="106">
        <v>342</v>
      </c>
      <c r="S344" s="15"/>
      <c r="T344" s="15"/>
      <c r="U344" s="15"/>
    </row>
    <row r="345" spans="1:21">
      <c r="A345" s="15"/>
      <c r="B345" s="15"/>
      <c r="C345" s="15"/>
      <c r="D345" s="15"/>
      <c r="E345" s="15"/>
      <c r="F345" s="15"/>
      <c r="G345" s="15"/>
      <c r="H345" s="15"/>
      <c r="J345" s="14" t="s">
        <v>134</v>
      </c>
      <c r="K345" s="105">
        <f t="shared" si="112"/>
        <v>2.6450145736717028</v>
      </c>
      <c r="L345" s="15">
        <v>12.37</v>
      </c>
      <c r="M345" s="15">
        <v>4.83</v>
      </c>
      <c r="N345" s="105">
        <f>N344+(N344*(RATE(($R$346-$R$344),0,N$344,-N$346)))</f>
        <v>4.0399504947461917</v>
      </c>
      <c r="O345" s="15"/>
      <c r="P345" s="105">
        <f t="shared" si="111"/>
        <v>2.4005325968282953</v>
      </c>
      <c r="Q345" s="15"/>
      <c r="R345" s="106">
        <v>343</v>
      </c>
      <c r="S345" s="15"/>
      <c r="T345" s="15"/>
      <c r="U345" s="15"/>
    </row>
    <row r="346" spans="1:21">
      <c r="A346" s="15"/>
      <c r="B346" s="15"/>
      <c r="C346" s="15"/>
      <c r="D346" s="15"/>
      <c r="E346" s="15"/>
      <c r="F346" s="15"/>
      <c r="G346" s="15"/>
      <c r="H346" s="15"/>
      <c r="J346" s="14" t="s">
        <v>135</v>
      </c>
      <c r="K346" s="105">
        <f>K345+(K345*(RATE(($R$349-$R$343),0,K$343,-K$349)))</f>
        <v>2.6781336785156977</v>
      </c>
      <c r="L346" s="15">
        <v>12.31</v>
      </c>
      <c r="M346" s="15">
        <v>4.58</v>
      </c>
      <c r="N346" s="15">
        <v>4.0599999999999996</v>
      </c>
      <c r="O346" s="15"/>
      <c r="P346" s="105">
        <f>P345+(P345*(RATE(($R$347-$R$338),0,P$338,-P$347)))</f>
        <v>2.4692818380949904</v>
      </c>
      <c r="Q346" s="15"/>
      <c r="R346" s="106">
        <v>344</v>
      </c>
      <c r="S346" s="15"/>
      <c r="T346" s="15"/>
      <c r="U346" s="15"/>
    </row>
    <row r="347" spans="1:21">
      <c r="A347" s="15"/>
      <c r="B347" s="15"/>
      <c r="C347" s="15"/>
      <c r="D347" s="15"/>
      <c r="E347" s="15"/>
      <c r="F347" s="15"/>
      <c r="G347" s="15"/>
      <c r="H347" s="15"/>
      <c r="J347" s="14" t="s">
        <v>136</v>
      </c>
      <c r="K347" s="105">
        <f t="shared" si="112"/>
        <v>2.7116674786572479</v>
      </c>
      <c r="L347" s="105">
        <f>L346+(L346*(RATE(($R$349-$R$346),0,L$346,-L$349)))</f>
        <v>12.497140611028172</v>
      </c>
      <c r="M347" s="15">
        <v>4.5199999999999996</v>
      </c>
      <c r="N347" s="15">
        <v>4.09</v>
      </c>
      <c r="O347" s="15"/>
      <c r="P347" s="15">
        <v>2.54</v>
      </c>
      <c r="Q347" s="15"/>
      <c r="R347" s="106">
        <v>345</v>
      </c>
      <c r="S347" s="15"/>
      <c r="T347" s="15"/>
      <c r="U347" s="15"/>
    </row>
    <row r="348" spans="1:21">
      <c r="A348" s="15"/>
      <c r="B348" s="15"/>
      <c r="C348" s="15"/>
      <c r="D348" s="15"/>
      <c r="E348" s="15"/>
      <c r="F348" s="15"/>
      <c r="G348" s="15"/>
      <c r="H348" s="15"/>
      <c r="J348" s="14" t="s">
        <v>192</v>
      </c>
      <c r="K348" s="105">
        <f t="shared" si="112"/>
        <v>2.7456211666337311</v>
      </c>
      <c r="L348" s="105">
        <f>L347+(L347*(RATE(($R$349-$R$346),0,L$346,-L$349)))</f>
        <v>12.687126194298099</v>
      </c>
      <c r="M348" s="105">
        <f>M347+(M347*(RATE(($R$352-$R$347),0,M$347,-M$352)))</f>
        <v>4.4625584672473053</v>
      </c>
      <c r="N348" s="105">
        <f>N347+(N347*(RATE(($R$350-$R$347),0,N$347,-N$350)))</f>
        <v>3.7960459100829387</v>
      </c>
      <c r="O348" s="15"/>
      <c r="P348" s="15">
        <v>2.29</v>
      </c>
      <c r="Q348" s="15"/>
      <c r="R348" s="106">
        <v>346</v>
      </c>
      <c r="S348" s="15"/>
      <c r="T348" s="15"/>
      <c r="U348" s="15"/>
    </row>
    <row r="349" spans="1:21">
      <c r="A349" s="15"/>
      <c r="B349" s="15"/>
      <c r="C349" s="15"/>
      <c r="D349" s="15"/>
      <c r="E349" s="15"/>
      <c r="F349" s="15"/>
      <c r="G349" s="15"/>
      <c r="H349" s="15"/>
      <c r="J349" s="14" t="s">
        <v>193</v>
      </c>
      <c r="K349" s="15">
        <v>2.78</v>
      </c>
      <c r="L349" s="15">
        <v>12.879999999999999</v>
      </c>
      <c r="M349" s="105">
        <f>M348+(M348*(RATE(($R$352-$R$347),0,M$347,-M$352)))</f>
        <v>4.4058469189381908</v>
      </c>
      <c r="N349" s="105">
        <f>N348+(N348*(RATE(($R$350-$R$347),0,N$347,-N$350)))</f>
        <v>3.5232187167377522</v>
      </c>
      <c r="O349" s="15"/>
      <c r="P349" s="15">
        <v>2.66</v>
      </c>
      <c r="Q349" s="15"/>
      <c r="R349" s="106">
        <v>347</v>
      </c>
      <c r="S349" s="15"/>
      <c r="T349" s="15"/>
      <c r="U349" s="15"/>
    </row>
    <row r="350" spans="1:21">
      <c r="A350" s="15"/>
      <c r="B350" s="15"/>
      <c r="C350" s="15"/>
      <c r="D350" s="15"/>
      <c r="E350" s="15"/>
      <c r="F350" s="15"/>
      <c r="G350" s="15"/>
      <c r="H350" s="15"/>
      <c r="J350" s="14" t="s">
        <v>194</v>
      </c>
      <c r="K350" s="15">
        <v>3.16</v>
      </c>
      <c r="L350" s="15">
        <v>12.94</v>
      </c>
      <c r="M350" s="105">
        <f>M349+(M349*(RATE(($R$352-$R$347),0,M$347,-M$352)))</f>
        <v>4.3498560782086457</v>
      </c>
      <c r="N350" s="15">
        <v>3.27</v>
      </c>
      <c r="O350" s="15"/>
      <c r="P350" s="15">
        <v>2.13</v>
      </c>
      <c r="Q350" s="15"/>
      <c r="R350" s="106">
        <v>348</v>
      </c>
      <c r="S350" s="15"/>
      <c r="T350" s="15"/>
      <c r="U350" s="15"/>
    </row>
    <row r="351" spans="1:21">
      <c r="A351" s="15"/>
      <c r="B351" s="15"/>
      <c r="C351" s="15"/>
      <c r="D351" s="15"/>
      <c r="E351" s="15"/>
      <c r="F351" s="15"/>
      <c r="G351" s="15"/>
      <c r="H351" s="15"/>
      <c r="I351" s="4">
        <f t="shared" ref="I351" si="113">I339+1</f>
        <v>1892</v>
      </c>
      <c r="J351" s="14" t="s">
        <v>96</v>
      </c>
      <c r="K351" s="15">
        <v>2.95</v>
      </c>
      <c r="L351" s="15">
        <v>13</v>
      </c>
      <c r="M351" s="105">
        <f>M350+(M350*(RATE(($R$352-$R$347),0,M$347,-M$352)))</f>
        <v>4.2945767860878652</v>
      </c>
      <c r="N351" s="15">
        <v>3.36</v>
      </c>
      <c r="O351" s="15"/>
      <c r="P351" s="105">
        <f>P350+(P350*(RATE(($R$352-$R$350),0,P$350,-P$352)))</f>
        <v>1.8460769214775909</v>
      </c>
      <c r="Q351" s="15"/>
      <c r="R351" s="106">
        <v>349</v>
      </c>
      <c r="S351" s="15"/>
      <c r="T351" s="15"/>
      <c r="U351" s="15"/>
    </row>
    <row r="352" spans="1:21">
      <c r="A352" s="15"/>
      <c r="B352" s="15"/>
      <c r="C352" s="15"/>
      <c r="D352" s="15"/>
      <c r="E352" s="15"/>
      <c r="F352" s="15"/>
      <c r="G352" s="15"/>
      <c r="H352" s="15"/>
      <c r="J352" s="14" t="s">
        <v>97</v>
      </c>
      <c r="K352" s="15">
        <v>2.64</v>
      </c>
      <c r="L352" s="15">
        <v>12.4</v>
      </c>
      <c r="M352" s="15">
        <v>4.24</v>
      </c>
      <c r="N352" s="15">
        <v>3.33</v>
      </c>
      <c r="O352" s="15"/>
      <c r="P352" s="15">
        <v>1.6</v>
      </c>
      <c r="Q352" s="15"/>
      <c r="R352" s="106">
        <v>350</v>
      </c>
      <c r="S352" s="15"/>
      <c r="T352" s="15"/>
      <c r="U352" s="15"/>
    </row>
    <row r="353" spans="1:21">
      <c r="A353" s="15"/>
      <c r="B353" s="15"/>
      <c r="C353" s="15"/>
      <c r="D353" s="15"/>
      <c r="E353" s="15"/>
      <c r="F353" s="15"/>
      <c r="G353" s="15"/>
      <c r="H353" s="15"/>
      <c r="J353" s="14" t="s">
        <v>130</v>
      </c>
      <c r="K353" s="15">
        <v>2.4500000000000002</v>
      </c>
      <c r="L353" s="15">
        <v>11.3</v>
      </c>
      <c r="M353" s="15">
        <v>3.97</v>
      </c>
      <c r="N353" s="15">
        <v>3.32</v>
      </c>
      <c r="O353" s="15"/>
      <c r="P353" s="15">
        <v>1.44</v>
      </c>
      <c r="Q353" s="15"/>
      <c r="R353" s="106">
        <v>351</v>
      </c>
      <c r="S353" s="15"/>
      <c r="T353" s="15"/>
      <c r="U353" s="15"/>
    </row>
    <row r="354" spans="1:21">
      <c r="A354" s="15"/>
      <c r="B354" s="15"/>
      <c r="C354" s="15"/>
      <c r="D354" s="15"/>
      <c r="E354" s="15"/>
      <c r="F354" s="15"/>
      <c r="G354" s="15"/>
      <c r="H354" s="15"/>
      <c r="J354" s="14" t="s">
        <v>131</v>
      </c>
      <c r="K354" s="15">
        <v>2.59</v>
      </c>
      <c r="L354" s="105">
        <f>L353+(L353*(RATE(($R$355-$R$353),0,L$353,-L$355)))</f>
        <v>11.148990985734988</v>
      </c>
      <c r="M354" s="15">
        <v>3.49</v>
      </c>
      <c r="N354" s="105">
        <f>N353+(N353*(RATE(($R$357-$R$353),0,N$353,-N$357)))</f>
        <v>3.1557012764430454</v>
      </c>
      <c r="O354" s="15"/>
      <c r="P354" s="15">
        <v>1.36</v>
      </c>
      <c r="Q354" s="15"/>
      <c r="R354" s="106">
        <v>352</v>
      </c>
      <c r="S354" s="15"/>
      <c r="T354" s="15"/>
      <c r="U354" s="15"/>
    </row>
    <row r="355" spans="1:21">
      <c r="A355" s="15"/>
      <c r="B355" s="15"/>
      <c r="C355" s="15"/>
      <c r="D355" s="15"/>
      <c r="E355" s="15"/>
      <c r="F355" s="15"/>
      <c r="G355" s="15"/>
      <c r="H355" s="15"/>
      <c r="J355" s="14" t="s">
        <v>132</v>
      </c>
      <c r="K355" s="15">
        <v>2.4700000000000002</v>
      </c>
      <c r="L355" s="15">
        <v>11</v>
      </c>
      <c r="M355" s="15">
        <v>3.72</v>
      </c>
      <c r="N355" s="105">
        <f>N354+(N354*(RATE(($R$357-$R$353),0,N$353,-N$357)))</f>
        <v>2.9995332970314057</v>
      </c>
      <c r="O355" s="15"/>
      <c r="P355" s="15">
        <v>1.53</v>
      </c>
      <c r="Q355" s="15"/>
      <c r="R355" s="106">
        <v>353</v>
      </c>
      <c r="S355" s="15"/>
      <c r="T355" s="15"/>
      <c r="U355" s="15"/>
    </row>
    <row r="356" spans="1:21">
      <c r="A356" s="15"/>
      <c r="B356" s="15"/>
      <c r="C356" s="15"/>
      <c r="D356" s="15"/>
      <c r="E356" s="15"/>
      <c r="F356" s="15"/>
      <c r="G356" s="15"/>
      <c r="H356" s="15"/>
      <c r="J356" s="14" t="s">
        <v>133</v>
      </c>
      <c r="K356" s="15">
        <v>2.46</v>
      </c>
      <c r="L356" s="15">
        <v>11.12</v>
      </c>
      <c r="M356" s="15">
        <v>4.03</v>
      </c>
      <c r="N356" s="105">
        <f>N355+(N355*(RATE(($R$357-$R$353),0,N$353,-N$357)))</f>
        <v>2.8510936910166942</v>
      </c>
      <c r="O356" s="15"/>
      <c r="P356" s="15">
        <v>1.75</v>
      </c>
      <c r="Q356" s="15"/>
      <c r="R356" s="106">
        <v>354</v>
      </c>
      <c r="S356" s="15"/>
      <c r="T356" s="15"/>
      <c r="U356" s="15"/>
    </row>
    <row r="357" spans="1:21">
      <c r="A357" s="15"/>
      <c r="B357" s="15"/>
      <c r="C357" s="15"/>
      <c r="D357" s="15"/>
      <c r="E357" s="15"/>
      <c r="F357" s="15"/>
      <c r="G357" s="15"/>
      <c r="H357" s="15"/>
      <c r="J357" s="14" t="s">
        <v>134</v>
      </c>
      <c r="K357" s="15">
        <v>2.3199999999999998</v>
      </c>
      <c r="L357" s="15">
        <v>11</v>
      </c>
      <c r="M357" s="15">
        <v>3.95</v>
      </c>
      <c r="N357" s="15">
        <v>2.71</v>
      </c>
      <c r="O357" s="15"/>
      <c r="P357" s="15">
        <v>1.79</v>
      </c>
      <c r="Q357" s="15"/>
      <c r="R357" s="106">
        <v>355</v>
      </c>
      <c r="S357" s="15"/>
      <c r="T357" s="15"/>
      <c r="U357" s="15"/>
    </row>
    <row r="358" spans="1:21">
      <c r="A358" s="15"/>
      <c r="B358" s="15"/>
      <c r="C358" s="15"/>
      <c r="D358" s="15"/>
      <c r="E358" s="15"/>
      <c r="F358" s="15"/>
      <c r="G358" s="15"/>
      <c r="H358" s="15"/>
      <c r="J358" s="14" t="s">
        <v>135</v>
      </c>
      <c r="K358" s="105">
        <f>K357+(K357*(RATE(($R$360-$R$357),0,K$357,-K$360)))</f>
        <v>2.3365483481592384</v>
      </c>
      <c r="L358" s="105">
        <f>L357+(L357*(RATE(($R$362-$R$357),0,L$357,-L$362)))</f>
        <v>11.965121427808654</v>
      </c>
      <c r="M358" s="15">
        <v>4.0599999999999996</v>
      </c>
      <c r="N358" s="15">
        <v>2.76</v>
      </c>
      <c r="O358" s="15"/>
      <c r="P358" s="15">
        <v>2.13</v>
      </c>
      <c r="Q358" s="15"/>
      <c r="R358" s="106">
        <v>356</v>
      </c>
      <c r="S358" s="15"/>
      <c r="T358" s="15"/>
      <c r="U358" s="15"/>
    </row>
    <row r="359" spans="1:21">
      <c r="A359" s="15"/>
      <c r="B359" s="15"/>
      <c r="C359" s="15"/>
      <c r="D359" s="15"/>
      <c r="E359" s="15"/>
      <c r="F359" s="15"/>
      <c r="G359" s="15"/>
      <c r="H359" s="15"/>
      <c r="J359" s="14" t="s">
        <v>136</v>
      </c>
      <c r="K359" s="105">
        <f>K358+(K358*(RATE(($R$360-$R$357),0,K$357,-K$360)))</f>
        <v>2.3532147341748559</v>
      </c>
      <c r="L359" s="105">
        <f t="shared" ref="L359:L361" si="114">L358+(L358*(RATE(($R$362-$R$357),0,L$357,-L$362)))</f>
        <v>13.014920980200527</v>
      </c>
      <c r="M359" s="15">
        <v>4.13</v>
      </c>
      <c r="N359" s="105">
        <f>N358+(N358*(RATE(($R$360-$R$358),0,N$358,-N$360)))</f>
        <v>2.7197058664495324</v>
      </c>
      <c r="O359" s="15"/>
      <c r="P359" s="15">
        <v>1.97</v>
      </c>
      <c r="Q359" s="15"/>
      <c r="R359" s="106">
        <v>357</v>
      </c>
      <c r="S359" s="15"/>
      <c r="T359" s="15"/>
      <c r="U359" s="15"/>
    </row>
    <row r="360" spans="1:21">
      <c r="A360" s="15"/>
      <c r="B360" s="15"/>
      <c r="C360" s="15"/>
      <c r="D360" s="15"/>
      <c r="E360" s="15"/>
      <c r="F360" s="15"/>
      <c r="G360" s="15"/>
      <c r="H360" s="15"/>
      <c r="J360" s="14" t="s">
        <v>192</v>
      </c>
      <c r="K360" s="15">
        <v>2.37</v>
      </c>
      <c r="L360" s="105">
        <f t="shared" si="114"/>
        <v>14.156828172857612</v>
      </c>
      <c r="M360" s="15">
        <v>4.26</v>
      </c>
      <c r="N360" s="15">
        <v>2.68</v>
      </c>
      <c r="O360" s="15"/>
      <c r="P360" s="15">
        <v>1.91</v>
      </c>
      <c r="Q360" s="15"/>
      <c r="R360" s="106">
        <v>358</v>
      </c>
      <c r="S360" s="15"/>
      <c r="T360" s="15"/>
      <c r="U360" s="15"/>
    </row>
    <row r="361" spans="1:21">
      <c r="A361" s="15"/>
      <c r="B361" s="15"/>
      <c r="C361" s="15"/>
      <c r="D361" s="15"/>
      <c r="E361" s="15"/>
      <c r="F361" s="15"/>
      <c r="G361" s="15"/>
      <c r="H361" s="15"/>
      <c r="J361" s="14" t="s">
        <v>193</v>
      </c>
      <c r="K361" s="15">
        <v>2.54</v>
      </c>
      <c r="L361" s="105">
        <f t="shared" si="114"/>
        <v>15.398924374623986</v>
      </c>
      <c r="M361" s="105">
        <f>M360+(M360*(RATE(($R$362-$R$360),0,M$360,-M$362)))</f>
        <v>4.153673073317159</v>
      </c>
      <c r="N361" s="15">
        <v>2.44</v>
      </c>
      <c r="O361" s="15"/>
      <c r="P361" s="15">
        <v>1.88</v>
      </c>
      <c r="Q361" s="15"/>
      <c r="R361" s="106">
        <v>359</v>
      </c>
      <c r="S361" s="15"/>
      <c r="T361" s="15"/>
      <c r="U361" s="15"/>
    </row>
    <row r="362" spans="1:21">
      <c r="A362" s="15"/>
      <c r="B362" s="15"/>
      <c r="C362" s="15"/>
      <c r="D362" s="15"/>
      <c r="E362" s="15"/>
      <c r="F362" s="15"/>
      <c r="G362" s="15"/>
      <c r="H362" s="15"/>
      <c r="J362" s="14" t="s">
        <v>194</v>
      </c>
      <c r="K362" s="15">
        <v>2.64</v>
      </c>
      <c r="L362" s="15">
        <v>16.75</v>
      </c>
      <c r="M362" s="15">
        <v>4.05</v>
      </c>
      <c r="N362" s="15">
        <v>2.41</v>
      </c>
      <c r="O362" s="15"/>
      <c r="P362" s="15">
        <v>1.94</v>
      </c>
      <c r="Q362" s="15"/>
      <c r="R362" s="106">
        <v>360</v>
      </c>
      <c r="S362" s="15"/>
      <c r="T362" s="15"/>
      <c r="U362" s="15"/>
    </row>
    <row r="363" spans="1:21">
      <c r="A363" s="15"/>
      <c r="B363" s="15"/>
      <c r="C363" s="15"/>
      <c r="D363" s="15"/>
      <c r="E363" s="15"/>
      <c r="F363" s="15"/>
      <c r="G363" s="15"/>
      <c r="H363" s="15"/>
      <c r="I363" s="4">
        <f t="shared" ref="I363" si="115">I351+1</f>
        <v>1893</v>
      </c>
      <c r="J363" s="14" t="s">
        <v>96</v>
      </c>
      <c r="K363" s="15">
        <v>2.75</v>
      </c>
      <c r="L363" s="15">
        <v>14.62</v>
      </c>
      <c r="M363" s="15">
        <v>4.0999999999999996</v>
      </c>
      <c r="N363" s="15">
        <v>2.54</v>
      </c>
      <c r="O363" s="15"/>
      <c r="P363" s="15">
        <v>2.5</v>
      </c>
      <c r="Q363" s="15"/>
      <c r="R363" s="106">
        <v>361</v>
      </c>
      <c r="S363" s="15"/>
      <c r="T363" s="15"/>
      <c r="U363" s="15"/>
    </row>
    <row r="364" spans="1:21">
      <c r="A364" s="15"/>
      <c r="B364" s="15"/>
      <c r="C364" s="15"/>
      <c r="D364" s="15"/>
      <c r="E364" s="15"/>
      <c r="F364" s="15"/>
      <c r="G364" s="15"/>
      <c r="H364" s="15"/>
      <c r="J364" s="14" t="s">
        <v>97</v>
      </c>
      <c r="K364" s="15">
        <v>2.61</v>
      </c>
      <c r="L364" s="15">
        <v>13.600000000000001</v>
      </c>
      <c r="M364" s="15">
        <v>4.09</v>
      </c>
      <c r="N364" s="15">
        <v>2.27</v>
      </c>
      <c r="O364" s="15"/>
      <c r="P364" s="15">
        <v>2.5</v>
      </c>
      <c r="Q364" s="15"/>
      <c r="R364" s="106">
        <v>362</v>
      </c>
      <c r="S364" s="15"/>
      <c r="T364" s="15"/>
      <c r="U364" s="15"/>
    </row>
    <row r="365" spans="1:21">
      <c r="A365" s="15"/>
      <c r="B365" s="15"/>
      <c r="C365" s="15"/>
      <c r="D365" s="15"/>
      <c r="E365" s="15"/>
      <c r="F365" s="15"/>
      <c r="G365" s="15"/>
      <c r="H365" s="15"/>
      <c r="J365" s="14" t="s">
        <v>130</v>
      </c>
      <c r="K365" s="15">
        <v>2.8</v>
      </c>
      <c r="L365" s="15">
        <v>13.699999999999998</v>
      </c>
      <c r="M365" s="15">
        <v>4.17</v>
      </c>
      <c r="N365" s="15">
        <v>2.2000000000000002</v>
      </c>
      <c r="O365" s="15">
        <v>32</v>
      </c>
      <c r="P365" s="105">
        <f>P364+(P364*(RATE(($R$368-$R$364),0,P$364,-P$368)))</f>
        <v>2.4074907185043974</v>
      </c>
      <c r="Q365" s="15"/>
      <c r="R365" s="106">
        <v>363</v>
      </c>
      <c r="S365" s="15"/>
      <c r="T365" s="15"/>
      <c r="U365" s="15"/>
    </row>
    <row r="366" spans="1:21">
      <c r="A366" s="15"/>
      <c r="B366" s="15"/>
      <c r="C366" s="15"/>
      <c r="D366" s="15"/>
      <c r="E366" s="15"/>
      <c r="F366" s="15"/>
      <c r="G366" s="15"/>
      <c r="H366" s="15"/>
      <c r="J366" s="14" t="s">
        <v>131</v>
      </c>
      <c r="K366" s="15">
        <v>2.86</v>
      </c>
      <c r="L366" s="15">
        <v>12.75</v>
      </c>
      <c r="M366" s="15">
        <v>4.3099999999999996</v>
      </c>
      <c r="N366" s="15">
        <v>2.25</v>
      </c>
      <c r="O366" s="15">
        <v>32.700000000000003</v>
      </c>
      <c r="P366" s="105">
        <f>P365+(P365*(RATE(($R$368-$R$364),0,P$364,-P$368)))</f>
        <v>2.3184046238739278</v>
      </c>
      <c r="Q366" s="15"/>
      <c r="R366" s="106">
        <v>364</v>
      </c>
      <c r="S366" s="15"/>
      <c r="T366" s="15"/>
      <c r="U366" s="15"/>
    </row>
    <row r="367" spans="1:21">
      <c r="A367" s="15"/>
      <c r="B367" s="15"/>
      <c r="C367" s="15"/>
      <c r="D367" s="15"/>
      <c r="E367" s="15"/>
      <c r="F367" s="15"/>
      <c r="G367" s="15"/>
      <c r="H367" s="15"/>
      <c r="J367" s="14" t="s">
        <v>132</v>
      </c>
      <c r="K367" s="15">
        <v>2.8</v>
      </c>
      <c r="L367" s="15">
        <v>12.68</v>
      </c>
      <c r="M367" s="15">
        <v>3.76</v>
      </c>
      <c r="N367" s="105">
        <f>N366+(N366*(RATE(($R$368-$R$366),0,N$366,-N$368)))</f>
        <v>2.409356760631356</v>
      </c>
      <c r="O367" s="15">
        <v>34.4</v>
      </c>
      <c r="P367" s="105">
        <f>P366+(P366*(RATE(($R$368-$R$364),0,P$364,-P$368)))</f>
        <v>2.2326150454856637</v>
      </c>
      <c r="Q367" s="15"/>
      <c r="R367" s="106">
        <v>365</v>
      </c>
      <c r="S367" s="15"/>
      <c r="T367" s="15"/>
      <c r="U367" s="15"/>
    </row>
    <row r="368" spans="1:21">
      <c r="A368" s="15"/>
      <c r="B368" s="15"/>
      <c r="C368" s="15"/>
      <c r="D368" s="15"/>
      <c r="E368" s="15"/>
      <c r="F368" s="15"/>
      <c r="G368" s="15"/>
      <c r="H368" s="15"/>
      <c r="J368" s="14" t="s">
        <v>133</v>
      </c>
      <c r="K368" s="105">
        <f t="shared" ref="K368:K371" si="116">K367+(K367*(RATE(($R$372-$R$367),0,K$367,-K$372)))</f>
        <v>2.8235988436281314</v>
      </c>
      <c r="L368" s="15">
        <v>12.2</v>
      </c>
      <c r="M368" s="15">
        <v>4.1399999999999997</v>
      </c>
      <c r="N368" s="15">
        <v>2.58</v>
      </c>
      <c r="O368" s="15">
        <v>36.340000000000003</v>
      </c>
      <c r="P368" s="15">
        <v>2.15</v>
      </c>
      <c r="Q368" s="15"/>
      <c r="R368" s="106">
        <v>366</v>
      </c>
      <c r="S368" s="15"/>
      <c r="T368" s="15"/>
      <c r="U368" s="15"/>
    </row>
    <row r="369" spans="1:21">
      <c r="A369" s="15"/>
      <c r="B369" s="15"/>
      <c r="C369" s="15"/>
      <c r="D369" s="15"/>
      <c r="E369" s="15"/>
      <c r="F369" s="15"/>
      <c r="G369" s="15"/>
      <c r="H369" s="15"/>
      <c r="J369" s="14" t="s">
        <v>134</v>
      </c>
      <c r="K369" s="105">
        <f t="shared" si="116"/>
        <v>2.847396582049329</v>
      </c>
      <c r="L369" s="15">
        <v>12</v>
      </c>
      <c r="M369" s="15">
        <v>4.57</v>
      </c>
      <c r="N369" s="15">
        <v>2.5099999999999998</v>
      </c>
      <c r="O369" s="15">
        <v>34.5</v>
      </c>
      <c r="P369" s="15">
        <v>2.0699999999999998</v>
      </c>
      <c r="Q369" s="15"/>
      <c r="R369" s="106">
        <v>367</v>
      </c>
      <c r="S369" s="15"/>
      <c r="T369" s="15"/>
      <c r="U369" s="15"/>
    </row>
    <row r="370" spans="1:21">
      <c r="A370" s="15"/>
      <c r="B370" s="15"/>
      <c r="C370" s="15"/>
      <c r="D370" s="15"/>
      <c r="E370" s="15"/>
      <c r="F370" s="15"/>
      <c r="G370" s="15"/>
      <c r="H370" s="15"/>
      <c r="J370" s="14" t="s">
        <v>135</v>
      </c>
      <c r="K370" s="105">
        <f>K369+(K369*(RATE(($R$372-$R$367),0,K$367,-K$372)))</f>
        <v>2.8713948915804215</v>
      </c>
      <c r="L370" s="15">
        <v>12</v>
      </c>
      <c r="M370" s="15">
        <v>4.6500000000000004</v>
      </c>
      <c r="N370" s="15">
        <v>2.42</v>
      </c>
      <c r="O370" s="15">
        <v>32.729999999999997</v>
      </c>
      <c r="P370" s="15">
        <v>1.91</v>
      </c>
      <c r="Q370" s="15"/>
      <c r="R370" s="106">
        <v>368</v>
      </c>
      <c r="S370" s="15"/>
      <c r="T370" s="15"/>
      <c r="U370" s="15"/>
    </row>
    <row r="371" spans="1:21">
      <c r="A371" s="15"/>
      <c r="B371" s="15"/>
      <c r="C371" s="15"/>
      <c r="D371" s="15"/>
      <c r="E371" s="15"/>
      <c r="F371" s="15"/>
      <c r="G371" s="15"/>
      <c r="H371" s="15"/>
      <c r="J371" s="14" t="s">
        <v>136</v>
      </c>
      <c r="K371" s="105">
        <f t="shared" si="116"/>
        <v>2.8955954626665008</v>
      </c>
      <c r="L371" s="15">
        <v>12</v>
      </c>
      <c r="M371" s="15">
        <v>4.68</v>
      </c>
      <c r="N371" s="15">
        <v>2.38</v>
      </c>
      <c r="O371" s="15">
        <v>26.98</v>
      </c>
      <c r="P371" s="15">
        <v>1.73</v>
      </c>
      <c r="Q371" s="15"/>
      <c r="R371" s="106">
        <v>369</v>
      </c>
      <c r="S371" s="15"/>
      <c r="T371" s="15"/>
      <c r="U371" s="15"/>
    </row>
    <row r="372" spans="1:21">
      <c r="A372" s="15"/>
      <c r="B372" s="15"/>
      <c r="C372" s="15"/>
      <c r="D372" s="15"/>
      <c r="E372" s="15"/>
      <c r="F372" s="15"/>
      <c r="G372" s="15"/>
      <c r="H372" s="15"/>
      <c r="J372" s="14" t="s">
        <v>192</v>
      </c>
      <c r="K372" s="15">
        <v>2.92</v>
      </c>
      <c r="L372" s="105">
        <f>L371+(L371*(RATE(($R$375-$R$371),0,L$371,-L$375)))</f>
        <v>12.63525291981925</v>
      </c>
      <c r="M372" s="15">
        <v>5.01</v>
      </c>
      <c r="N372" s="15">
        <v>2.4700000000000002</v>
      </c>
      <c r="O372" s="15">
        <v>28.9</v>
      </c>
      <c r="P372" s="15">
        <v>1.69</v>
      </c>
      <c r="Q372" s="15"/>
      <c r="R372" s="106">
        <v>370</v>
      </c>
      <c r="S372" s="15"/>
      <c r="T372" s="15"/>
      <c r="U372" s="15"/>
    </row>
    <row r="373" spans="1:21">
      <c r="A373" s="15"/>
      <c r="B373" s="15"/>
      <c r="C373" s="15"/>
      <c r="D373" s="15"/>
      <c r="E373" s="15"/>
      <c r="F373" s="15"/>
      <c r="G373" s="15"/>
      <c r="H373" s="15"/>
      <c r="J373" s="14" t="s">
        <v>193</v>
      </c>
      <c r="K373" s="15">
        <v>2.98</v>
      </c>
      <c r="L373" s="105">
        <f>L372+(L372*(RATE(($R$375-$R$371),0,L$371,-L$375)))</f>
        <v>13.304134695650072</v>
      </c>
      <c r="M373" s="105">
        <f>M372+(M372*(RATE(($R$374-$R$372),0,M$372,-M$374)))</f>
        <v>4.4316137015789305</v>
      </c>
      <c r="N373" s="105">
        <f>N372+(N372*(RATE(($R$374-$R$372),0,N$372,-N$374)))</f>
        <v>2.2883181596972628</v>
      </c>
      <c r="O373" s="15">
        <v>29.45</v>
      </c>
      <c r="P373" s="15">
        <v>1.6</v>
      </c>
      <c r="Q373" s="15"/>
      <c r="R373" s="106">
        <v>371</v>
      </c>
      <c r="S373" s="15"/>
      <c r="T373" s="15"/>
      <c r="U373" s="15"/>
    </row>
    <row r="374" spans="1:21">
      <c r="A374" s="15"/>
      <c r="B374" s="15"/>
      <c r="C374" s="15"/>
      <c r="D374" s="15"/>
      <c r="E374" s="15"/>
      <c r="F374" s="15"/>
      <c r="G374" s="15"/>
      <c r="H374" s="15"/>
      <c r="J374" s="14" t="s">
        <v>194</v>
      </c>
      <c r="K374" s="15">
        <v>3</v>
      </c>
      <c r="L374" s="105">
        <f>L373+(L373*(RATE(($R$375-$R$371),0,L$371,-L$375)))</f>
        <v>14.008425563240097</v>
      </c>
      <c r="M374" s="15">
        <v>3.92</v>
      </c>
      <c r="N374" s="15">
        <v>2.12</v>
      </c>
      <c r="O374" s="105">
        <f t="shared" ref="O374:O386" si="117">O373+(O373*(RATE(($R$388-$R$373),0,O$373,-O$388)))</f>
        <v>29.068629402993157</v>
      </c>
      <c r="P374" s="15">
        <v>1.51</v>
      </c>
      <c r="Q374" s="15"/>
      <c r="R374" s="106">
        <v>372</v>
      </c>
      <c r="S374" s="15"/>
      <c r="T374" s="15"/>
      <c r="U374" s="15"/>
    </row>
    <row r="375" spans="1:21">
      <c r="A375" s="15"/>
      <c r="B375" s="15"/>
      <c r="C375" s="15"/>
      <c r="D375" s="15"/>
      <c r="E375" s="15"/>
      <c r="F375" s="15"/>
      <c r="G375" s="15"/>
      <c r="H375" s="15"/>
      <c r="I375" s="4">
        <f t="shared" ref="I375" si="118">I363+1</f>
        <v>1894</v>
      </c>
      <c r="J375" s="14" t="s">
        <v>96</v>
      </c>
      <c r="K375" s="15">
        <v>2.4</v>
      </c>
      <c r="L375" s="15">
        <v>14.75</v>
      </c>
      <c r="M375" s="15">
        <v>3.8</v>
      </c>
      <c r="N375" s="15">
        <v>1.97</v>
      </c>
      <c r="O375" s="105">
        <f t="shared" si="117"/>
        <v>28.692197465825409</v>
      </c>
      <c r="P375" s="15">
        <v>1.89</v>
      </c>
      <c r="Q375" s="15"/>
      <c r="R375" s="106">
        <v>373</v>
      </c>
      <c r="S375" s="15"/>
      <c r="T375" s="15"/>
      <c r="U375" s="15"/>
    </row>
    <row r="376" spans="1:21">
      <c r="A376" s="15"/>
      <c r="B376" s="15"/>
      <c r="C376" s="15"/>
      <c r="D376" s="15"/>
      <c r="E376" s="15"/>
      <c r="F376" s="15"/>
      <c r="G376" s="15"/>
      <c r="H376" s="15"/>
      <c r="J376" s="14" t="s">
        <v>97</v>
      </c>
      <c r="K376" s="15">
        <v>2.66</v>
      </c>
      <c r="L376" s="15">
        <v>14.02</v>
      </c>
      <c r="M376" s="15">
        <v>3.58</v>
      </c>
      <c r="N376" s="15">
        <v>1.8</v>
      </c>
      <c r="O376" s="105">
        <f t="shared" si="117"/>
        <v>28.320640234009446</v>
      </c>
      <c r="P376" s="15">
        <v>2</v>
      </c>
      <c r="Q376" s="15"/>
      <c r="R376" s="106">
        <v>374</v>
      </c>
      <c r="S376" s="15"/>
      <c r="T376" s="15"/>
      <c r="U376" s="15"/>
    </row>
    <row r="377" spans="1:21">
      <c r="A377" s="15"/>
      <c r="B377" s="15"/>
      <c r="C377" s="15"/>
      <c r="D377" s="15"/>
      <c r="E377" s="15"/>
      <c r="F377" s="15"/>
      <c r="G377" s="15"/>
      <c r="H377" s="15"/>
      <c r="J377" s="14" t="s">
        <v>130</v>
      </c>
      <c r="K377" s="15">
        <v>2.75</v>
      </c>
      <c r="L377" s="15">
        <v>12.05</v>
      </c>
      <c r="M377" s="15">
        <v>3.6</v>
      </c>
      <c r="N377" s="15">
        <v>1.85</v>
      </c>
      <c r="O377" s="105">
        <f t="shared" si="117"/>
        <v>27.953894581253582</v>
      </c>
      <c r="P377" s="15">
        <v>1.92</v>
      </c>
      <c r="Q377" s="15"/>
      <c r="R377" s="106">
        <v>375</v>
      </c>
      <c r="S377" s="15"/>
      <c r="T377" s="15"/>
      <c r="U377" s="15"/>
    </row>
    <row r="378" spans="1:21">
      <c r="A378" s="15"/>
      <c r="B378" s="15"/>
      <c r="C378" s="15"/>
      <c r="D378" s="15"/>
      <c r="E378" s="15"/>
      <c r="F378" s="15"/>
      <c r="G378" s="15"/>
      <c r="H378" s="15"/>
      <c r="J378" s="14" t="s">
        <v>131</v>
      </c>
      <c r="K378" s="15">
        <v>2.69</v>
      </c>
      <c r="L378" s="15">
        <v>10.95</v>
      </c>
      <c r="M378" s="15">
        <v>3.5</v>
      </c>
      <c r="N378" s="15">
        <v>1.82</v>
      </c>
      <c r="O378" s="105">
        <f t="shared" si="117"/>
        <v>27.591898198736807</v>
      </c>
      <c r="P378" s="15">
        <v>1.62</v>
      </c>
      <c r="Q378" s="15"/>
      <c r="R378" s="106">
        <v>376</v>
      </c>
      <c r="S378" s="15"/>
      <c r="T378" s="15"/>
      <c r="U378" s="15"/>
    </row>
    <row r="379" spans="1:21">
      <c r="A379" s="15"/>
      <c r="B379" s="15"/>
      <c r="C379" s="15"/>
      <c r="D379" s="15"/>
      <c r="E379" s="15"/>
      <c r="F379" s="15"/>
      <c r="G379" s="15"/>
      <c r="H379" s="15"/>
      <c r="J379" s="14" t="s">
        <v>132</v>
      </c>
      <c r="K379" s="15">
        <v>2.25</v>
      </c>
      <c r="L379" s="15">
        <v>11.6</v>
      </c>
      <c r="M379" s="15">
        <v>3.3</v>
      </c>
      <c r="N379" s="15">
        <v>1.56</v>
      </c>
      <c r="O379" s="105">
        <f t="shared" si="117"/>
        <v>27.234589584522737</v>
      </c>
      <c r="P379" s="15">
        <v>1.68</v>
      </c>
      <c r="Q379" s="15"/>
      <c r="R379" s="106">
        <v>377</v>
      </c>
      <c r="S379" s="15"/>
      <c r="T379" s="15"/>
      <c r="U379" s="15"/>
    </row>
    <row r="380" spans="1:21">
      <c r="A380" s="15"/>
      <c r="B380" s="15"/>
      <c r="C380" s="15"/>
      <c r="D380" s="15"/>
      <c r="E380" s="15"/>
      <c r="F380" s="15"/>
      <c r="G380" s="15"/>
      <c r="H380" s="15"/>
      <c r="J380" s="14" t="s">
        <v>133</v>
      </c>
      <c r="K380" s="105">
        <f>K379+(K379*(RATE(($R$382-$R$379),0,K$379,-K$382)))</f>
        <v>2.2230108890508573</v>
      </c>
      <c r="L380" s="15">
        <v>10.75</v>
      </c>
      <c r="M380" s="15">
        <v>3.48</v>
      </c>
      <c r="N380" s="15">
        <v>1.7</v>
      </c>
      <c r="O380" s="105">
        <f>O379+(O379*(RATE(($R$388-$R$373),0,O$373,-O$388)))</f>
        <v>26.881908033110655</v>
      </c>
      <c r="P380" s="15">
        <v>1.79</v>
      </c>
      <c r="Q380" s="15"/>
      <c r="R380" s="106">
        <v>378</v>
      </c>
      <c r="S380" s="15"/>
      <c r="T380" s="15"/>
      <c r="U380" s="15"/>
    </row>
    <row r="381" spans="1:21">
      <c r="A381" s="15"/>
      <c r="B381" s="15"/>
      <c r="C381" s="15"/>
      <c r="D381" s="15"/>
      <c r="E381" s="15"/>
      <c r="F381" s="15"/>
      <c r="G381" s="15"/>
      <c r="H381" s="15"/>
      <c r="J381" s="14" t="s">
        <v>134</v>
      </c>
      <c r="K381" s="105">
        <f>K380+(K380*(RATE(($R$382-$R$379),0,K$379,-K$382)))</f>
        <v>2.1963455168171926</v>
      </c>
      <c r="L381" s="15">
        <v>13</v>
      </c>
      <c r="M381" s="15">
        <v>3.72</v>
      </c>
      <c r="N381" s="15">
        <v>1.77</v>
      </c>
      <c r="O381" s="105">
        <f t="shared" si="117"/>
        <v>26.533793625121845</v>
      </c>
      <c r="P381" s="15">
        <v>1.98</v>
      </c>
      <c r="Q381" s="15"/>
      <c r="R381" s="106">
        <v>379</v>
      </c>
      <c r="S381" s="15"/>
      <c r="T381" s="15"/>
      <c r="U381" s="15"/>
    </row>
    <row r="382" spans="1:21">
      <c r="A382" s="15"/>
      <c r="B382" s="15"/>
      <c r="C382" s="15"/>
      <c r="D382" s="15"/>
      <c r="E382" s="15"/>
      <c r="F382" s="15"/>
      <c r="G382" s="15"/>
      <c r="H382" s="15"/>
      <c r="J382" s="14" t="s">
        <v>135</v>
      </c>
      <c r="K382" s="15">
        <v>2.17</v>
      </c>
      <c r="L382" s="105">
        <f>L381+(L381*(RATE(($R$385-$R$381),0,L$381,-L$385)))</f>
        <v>13.359786406627837</v>
      </c>
      <c r="M382" s="15">
        <v>3.79</v>
      </c>
      <c r="N382" s="15">
        <v>1.84</v>
      </c>
      <c r="O382" s="105">
        <f t="shared" si="117"/>
        <v>26.190187217119497</v>
      </c>
      <c r="P382" s="15">
        <v>2.0299999999999998</v>
      </c>
      <c r="Q382" s="15"/>
      <c r="R382" s="106">
        <v>380</v>
      </c>
      <c r="S382" s="15"/>
      <c r="T382" s="15"/>
      <c r="U382" s="15"/>
    </row>
    <row r="383" spans="1:21">
      <c r="A383" s="15"/>
      <c r="B383" s="15"/>
      <c r="C383" s="15"/>
      <c r="D383" s="15"/>
      <c r="E383" s="15"/>
      <c r="F383" s="15"/>
      <c r="G383" s="15"/>
      <c r="H383" s="15"/>
      <c r="J383" s="14" t="s">
        <v>136</v>
      </c>
      <c r="K383" s="15">
        <v>2.4900000000000002</v>
      </c>
      <c r="L383" s="105">
        <f>L382+(L382*(RATE(($R$385-$R$381),0,L$381,-L$385)))</f>
        <v>13.729530217747534</v>
      </c>
      <c r="M383" s="15">
        <v>4</v>
      </c>
      <c r="N383" s="15">
        <v>1.89</v>
      </c>
      <c r="O383" s="105">
        <f t="shared" si="117"/>
        <v>25.851030431560453</v>
      </c>
      <c r="P383" s="15">
        <v>2.13</v>
      </c>
      <c r="Q383" s="15"/>
      <c r="R383" s="106">
        <v>381</v>
      </c>
      <c r="S383" s="15"/>
      <c r="T383" s="15"/>
      <c r="U383" s="15"/>
    </row>
    <row r="384" spans="1:21">
      <c r="A384" s="15"/>
      <c r="B384" s="15"/>
      <c r="C384" s="15"/>
      <c r="D384" s="15"/>
      <c r="E384" s="15"/>
      <c r="F384" s="15"/>
      <c r="G384" s="15"/>
      <c r="H384" s="15"/>
      <c r="J384" s="14" t="s">
        <v>192</v>
      </c>
      <c r="K384" s="15">
        <v>2.65</v>
      </c>
      <c r="L384" s="105">
        <f>L383+(L383*(RATE(($R$385-$R$381),0,L$381,-L$385)))</f>
        <v>14.109507013265358</v>
      </c>
      <c r="M384" s="15">
        <v>3.88</v>
      </c>
      <c r="N384" s="15">
        <v>1.73</v>
      </c>
      <c r="O384" s="105">
        <f t="shared" si="117"/>
        <v>25.516265646877049</v>
      </c>
      <c r="P384" s="15">
        <v>2</v>
      </c>
      <c r="Q384" s="15"/>
      <c r="R384" s="106">
        <v>382</v>
      </c>
      <c r="S384" s="15"/>
      <c r="T384" s="15"/>
      <c r="U384" s="15"/>
    </row>
    <row r="385" spans="1:21">
      <c r="A385" s="15"/>
      <c r="B385" s="15"/>
      <c r="C385" s="15"/>
      <c r="D385" s="15"/>
      <c r="E385" s="15"/>
      <c r="F385" s="15"/>
      <c r="G385" s="15"/>
      <c r="H385" s="15"/>
      <c r="J385" s="14" t="s">
        <v>193</v>
      </c>
      <c r="K385" s="15">
        <v>2.88</v>
      </c>
      <c r="L385" s="15">
        <v>14.499999999999998</v>
      </c>
      <c r="M385" s="15">
        <v>3.16</v>
      </c>
      <c r="N385" s="15">
        <v>1.88</v>
      </c>
      <c r="O385" s="105">
        <f t="shared" si="117"/>
        <v>25.185835987687415</v>
      </c>
      <c r="P385" s="15">
        <v>1.9</v>
      </c>
      <c r="Q385" s="15"/>
      <c r="R385" s="106">
        <v>383</v>
      </c>
      <c r="S385" s="15"/>
      <c r="T385" s="15"/>
      <c r="U385" s="15"/>
    </row>
    <row r="386" spans="1:21">
      <c r="A386" s="15"/>
      <c r="B386" s="15"/>
      <c r="C386" s="15"/>
      <c r="D386" s="15"/>
      <c r="E386" s="15"/>
      <c r="F386" s="15"/>
      <c r="G386" s="15"/>
      <c r="H386" s="15"/>
      <c r="J386" s="14" t="s">
        <v>194</v>
      </c>
      <c r="K386" s="15">
        <v>2.82</v>
      </c>
      <c r="L386" s="15">
        <v>16.25</v>
      </c>
      <c r="M386" s="15">
        <v>3.04</v>
      </c>
      <c r="N386" s="15">
        <v>1.96</v>
      </c>
      <c r="O386" s="105">
        <f t="shared" si="117"/>
        <v>24.859685315132548</v>
      </c>
      <c r="P386" s="15">
        <v>1.79</v>
      </c>
      <c r="Q386" s="15"/>
      <c r="R386" s="106">
        <v>384</v>
      </c>
      <c r="S386" s="15"/>
      <c r="T386" s="15"/>
      <c r="U386" s="15"/>
    </row>
    <row r="387" spans="1:21">
      <c r="A387" s="15"/>
      <c r="B387" s="15"/>
      <c r="C387" s="15"/>
      <c r="D387" s="15"/>
      <c r="E387" s="15"/>
      <c r="F387" s="15"/>
      <c r="G387" s="15"/>
      <c r="H387" s="15"/>
      <c r="I387" s="4">
        <f t="shared" ref="I387" si="119">I375+1</f>
        <v>1895</v>
      </c>
      <c r="J387" s="14" t="s">
        <v>96</v>
      </c>
      <c r="K387" s="105">
        <f>K386+(K386*(RATE(($R$388-$R$386),0,K$386,-K$388)))</f>
        <v>2.5961124783030014</v>
      </c>
      <c r="L387" s="105">
        <f t="shared" ref="L387:N387" si="120">L386+(L386*(RATE(($R$388-$R$386),0,L$386,-L$388)))</f>
        <v>15.05614492491393</v>
      </c>
      <c r="M387" s="105">
        <f t="shared" si="120"/>
        <v>3.04</v>
      </c>
      <c r="N387" s="105">
        <f t="shared" si="120"/>
        <v>1.8520259177452232</v>
      </c>
      <c r="O387" s="105">
        <f>O386+(O386*(RATE(($R$388-$R$373),0,O$373,-O$388)))</f>
        <v>24.537758217338514</v>
      </c>
      <c r="P387" s="105">
        <f>P386+(P386*(RATE(($R$391-$R$386),0,P$386,-P$391)))</f>
        <v>1.7346853508287907</v>
      </c>
      <c r="Q387" s="15"/>
      <c r="R387" s="106">
        <v>385</v>
      </c>
      <c r="S387" s="15"/>
      <c r="T387" s="15"/>
      <c r="U387" s="15"/>
    </row>
    <row r="388" spans="1:21">
      <c r="A388" s="15"/>
      <c r="B388" s="15"/>
      <c r="C388" s="15"/>
      <c r="D388" s="15"/>
      <c r="E388" s="15"/>
      <c r="F388" s="15"/>
      <c r="G388" s="15"/>
      <c r="H388" s="15"/>
      <c r="J388" s="14" t="s">
        <v>97</v>
      </c>
      <c r="K388" s="15">
        <v>2.39</v>
      </c>
      <c r="L388" s="15">
        <v>13.95</v>
      </c>
      <c r="M388" s="15">
        <v>3.04</v>
      </c>
      <c r="N388" s="15">
        <v>1.75</v>
      </c>
      <c r="O388" s="15">
        <v>24.22</v>
      </c>
      <c r="P388" s="105">
        <f t="shared" ref="P388:P390" si="121">P387+(P387*(RATE(($R$391-$R$386),0,P$386,-P$391)))</f>
        <v>1.6810800370838015</v>
      </c>
      <c r="Q388" s="15"/>
      <c r="R388" s="106">
        <v>386</v>
      </c>
      <c r="S388" s="15"/>
      <c r="T388" s="15"/>
      <c r="U388" s="15"/>
    </row>
    <row r="389" spans="1:21">
      <c r="A389" s="15"/>
      <c r="B389" s="15"/>
      <c r="C389" s="15"/>
      <c r="D389" s="15"/>
      <c r="E389" s="15"/>
      <c r="F389" s="15"/>
      <c r="G389" s="15"/>
      <c r="H389" s="15"/>
      <c r="J389" s="14" t="s">
        <v>130</v>
      </c>
      <c r="K389" s="15">
        <v>2.46</v>
      </c>
      <c r="L389" s="15">
        <v>14.499999999999998</v>
      </c>
      <c r="M389" s="15">
        <v>2.9</v>
      </c>
      <c r="N389" s="15">
        <v>1.84</v>
      </c>
      <c r="O389" s="15">
        <v>31.95</v>
      </c>
      <c r="P389" s="105">
        <f t="shared" si="121"/>
        <v>1.6291312368156372</v>
      </c>
      <c r="Q389" s="15"/>
      <c r="R389" s="106">
        <v>387</v>
      </c>
      <c r="S389" s="15"/>
      <c r="T389" s="15"/>
      <c r="U389" s="15"/>
    </row>
    <row r="390" spans="1:21">
      <c r="A390" s="15"/>
      <c r="B390" s="15"/>
      <c r="C390" s="15"/>
      <c r="D390" s="15"/>
      <c r="E390" s="15"/>
      <c r="F390" s="15"/>
      <c r="G390" s="15"/>
      <c r="H390" s="15"/>
      <c r="J390" s="14" t="s">
        <v>131</v>
      </c>
      <c r="K390" s="15">
        <v>2.2599999999999998</v>
      </c>
      <c r="L390" s="15">
        <v>15.15</v>
      </c>
      <c r="M390" s="15">
        <v>3.13</v>
      </c>
      <c r="N390" s="15">
        <v>2.09</v>
      </c>
      <c r="O390" s="15">
        <v>31.28</v>
      </c>
      <c r="P390" s="105">
        <f t="shared" si="121"/>
        <v>1.5787877603808242</v>
      </c>
      <c r="Q390" s="15"/>
      <c r="R390" s="106">
        <v>388</v>
      </c>
      <c r="S390" s="15"/>
      <c r="T390" s="15"/>
      <c r="U390" s="15"/>
    </row>
    <row r="391" spans="1:21">
      <c r="A391" s="15"/>
      <c r="B391" s="15"/>
      <c r="C391" s="15"/>
      <c r="D391" s="15"/>
      <c r="E391" s="15"/>
      <c r="F391" s="15"/>
      <c r="G391" s="15"/>
      <c r="H391" s="15"/>
      <c r="J391" s="14" t="s">
        <v>132</v>
      </c>
      <c r="K391" s="15">
        <v>2.17</v>
      </c>
      <c r="L391" s="15">
        <v>17.62</v>
      </c>
      <c r="M391" s="15">
        <v>3.11</v>
      </c>
      <c r="N391" s="15">
        <v>2.27</v>
      </c>
      <c r="O391" s="15">
        <v>31.16</v>
      </c>
      <c r="P391" s="15">
        <v>1.53</v>
      </c>
      <c r="Q391" s="15"/>
      <c r="R391" s="106">
        <v>389</v>
      </c>
      <c r="S391" s="15"/>
      <c r="T391" s="15"/>
      <c r="U391" s="15"/>
    </row>
    <row r="392" spans="1:21">
      <c r="A392" s="15"/>
      <c r="B392" s="15"/>
      <c r="C392" s="15"/>
      <c r="D392" s="15"/>
      <c r="E392" s="15"/>
      <c r="F392" s="15"/>
      <c r="G392" s="15"/>
      <c r="H392" s="15"/>
      <c r="J392" s="14" t="s">
        <v>133</v>
      </c>
      <c r="K392" s="15">
        <v>2.23</v>
      </c>
      <c r="L392" s="15">
        <v>19</v>
      </c>
      <c r="M392" s="15">
        <v>3.02</v>
      </c>
      <c r="N392" s="15">
        <v>2.5</v>
      </c>
      <c r="O392" s="15">
        <v>30.24</v>
      </c>
      <c r="P392" s="15">
        <v>1.65</v>
      </c>
      <c r="Q392" s="15"/>
      <c r="R392" s="106">
        <v>390</v>
      </c>
      <c r="S392" s="15"/>
      <c r="T392" s="15"/>
      <c r="U392" s="15"/>
    </row>
    <row r="393" spans="1:21">
      <c r="A393" s="15"/>
      <c r="B393" s="15"/>
      <c r="C393" s="15"/>
      <c r="D393" s="15"/>
      <c r="E393" s="15"/>
      <c r="F393" s="15"/>
      <c r="G393" s="15"/>
      <c r="H393" s="15"/>
      <c r="J393" s="14" t="s">
        <v>134</v>
      </c>
      <c r="K393" s="15">
        <v>2.37</v>
      </c>
      <c r="L393" s="15">
        <v>21.87</v>
      </c>
      <c r="M393" s="15">
        <v>3.02</v>
      </c>
      <c r="N393" s="105">
        <f t="shared" ref="N393:N421" si="122">N392+(N392*(RATE(($R$422-$R$392),0,N$392,-N$422)))</f>
        <v>2.5296300303285348</v>
      </c>
      <c r="O393" s="15">
        <v>32.04</v>
      </c>
      <c r="P393" s="15">
        <v>1.61</v>
      </c>
      <c r="Q393" s="15"/>
      <c r="R393" s="106">
        <v>391</v>
      </c>
      <c r="S393" s="15"/>
      <c r="T393" s="15"/>
      <c r="U393" s="15"/>
    </row>
    <row r="394" spans="1:21">
      <c r="A394" s="15"/>
      <c r="B394" s="15"/>
      <c r="C394" s="15"/>
      <c r="D394" s="15"/>
      <c r="E394" s="15"/>
      <c r="F394" s="15"/>
      <c r="G394" s="15"/>
      <c r="H394" s="15"/>
      <c r="J394" s="14" t="s">
        <v>135</v>
      </c>
      <c r="K394" s="105">
        <f>K393+(K393*(RATE(($R$396-$R$393),0,K$393,-K$396)))</f>
        <v>2.5349237282009498</v>
      </c>
      <c r="L394" s="105">
        <f>L393+(L393*(RATE(($R$395-$R$393),0,L$393,-L$395)))</f>
        <v>23.321811679198643</v>
      </c>
      <c r="M394" s="15">
        <v>3.06</v>
      </c>
      <c r="N394" s="105">
        <f t="shared" si="122"/>
        <v>2.5596112361359773</v>
      </c>
      <c r="O394" s="15">
        <v>30.49</v>
      </c>
      <c r="P394" s="15">
        <v>1.43</v>
      </c>
      <c r="Q394" s="15"/>
      <c r="R394" s="106">
        <v>392</v>
      </c>
      <c r="S394" s="15"/>
      <c r="T394" s="15"/>
      <c r="U394" s="15"/>
    </row>
    <row r="395" spans="1:21">
      <c r="A395" s="15"/>
      <c r="B395" s="15"/>
      <c r="C395" s="15"/>
      <c r="D395" s="15"/>
      <c r="E395" s="15"/>
      <c r="F395" s="15"/>
      <c r="G395" s="15"/>
      <c r="H395" s="15"/>
      <c r="J395" s="14" t="s">
        <v>136</v>
      </c>
      <c r="K395" s="105">
        <f>K394+(K394*(RATE(($R$396-$R$393),0,K$393,-K$396)))</f>
        <v>2.711324180504727</v>
      </c>
      <c r="L395" s="15">
        <v>24.87</v>
      </c>
      <c r="M395" s="15">
        <v>2.99</v>
      </c>
      <c r="N395" s="105">
        <f t="shared" si="122"/>
        <v>2.5899477795583641</v>
      </c>
      <c r="O395" s="15">
        <v>31.72</v>
      </c>
      <c r="P395" s="15">
        <v>1.25</v>
      </c>
      <c r="Q395" s="15"/>
      <c r="R395" s="106">
        <v>393</v>
      </c>
      <c r="S395" s="15"/>
      <c r="T395" s="15"/>
      <c r="U395" s="15"/>
    </row>
    <row r="396" spans="1:21">
      <c r="A396" s="15"/>
      <c r="B396" s="15"/>
      <c r="C396" s="15"/>
      <c r="D396" s="15"/>
      <c r="E396" s="15"/>
      <c r="F396" s="15"/>
      <c r="G396" s="15"/>
      <c r="H396" s="15"/>
      <c r="J396" s="14" t="s">
        <v>192</v>
      </c>
      <c r="K396" s="15">
        <v>2.9</v>
      </c>
      <c r="L396" s="15">
        <v>25.25</v>
      </c>
      <c r="M396" s="15">
        <v>2.75</v>
      </c>
      <c r="N396" s="105">
        <f t="shared" si="122"/>
        <v>2.620643872061418</v>
      </c>
      <c r="O396" s="15">
        <v>31.21</v>
      </c>
      <c r="P396" s="15">
        <v>1.1599999999999999</v>
      </c>
      <c r="Q396" s="15"/>
      <c r="R396" s="106">
        <v>394</v>
      </c>
      <c r="S396" s="15"/>
      <c r="T396" s="15"/>
      <c r="U396" s="15"/>
    </row>
    <row r="397" spans="1:21">
      <c r="A397" s="15"/>
      <c r="B397" s="15"/>
      <c r="C397" s="15"/>
      <c r="D397" s="15"/>
      <c r="E397" s="15"/>
      <c r="F397" s="15"/>
      <c r="G397" s="15"/>
      <c r="H397" s="15"/>
      <c r="J397" s="14" t="s">
        <v>193</v>
      </c>
      <c r="K397" s="15">
        <v>2.66</v>
      </c>
      <c r="L397" s="15">
        <v>19.2</v>
      </c>
      <c r="M397" s="105">
        <f>M396+(M396*(RATE(($R$398-$R$396),0,M$396,-M$398)))</f>
        <v>2.8866070047726837</v>
      </c>
      <c r="N397" s="105">
        <f t="shared" si="122"/>
        <v>2.6517037750252053</v>
      </c>
      <c r="O397" s="15">
        <v>33</v>
      </c>
      <c r="P397" s="15">
        <v>1.1100000000000001</v>
      </c>
      <c r="Q397" s="15"/>
      <c r="R397" s="106">
        <v>395</v>
      </c>
      <c r="S397" s="15"/>
      <c r="T397" s="15"/>
      <c r="U397" s="15"/>
    </row>
    <row r="398" spans="1:21">
      <c r="A398" s="15"/>
      <c r="B398" s="15"/>
      <c r="C398" s="15"/>
      <c r="D398" s="15"/>
      <c r="E398" s="15"/>
      <c r="F398" s="15"/>
      <c r="G398" s="15"/>
      <c r="H398" s="15"/>
      <c r="J398" s="14" t="s">
        <v>194</v>
      </c>
      <c r="K398" s="15">
        <v>2.71</v>
      </c>
      <c r="L398" s="15">
        <v>18.25</v>
      </c>
      <c r="M398" s="15">
        <v>3.03</v>
      </c>
      <c r="N398" s="105">
        <f t="shared" si="122"/>
        <v>2.6831318003357199</v>
      </c>
      <c r="O398" s="15">
        <v>33.22</v>
      </c>
      <c r="P398" s="15">
        <v>0.99</v>
      </c>
      <c r="Q398" s="15"/>
      <c r="R398" s="106">
        <v>396</v>
      </c>
      <c r="S398" s="15"/>
      <c r="T398" s="15"/>
      <c r="U398" s="15"/>
    </row>
    <row r="399" spans="1:21">
      <c r="A399" s="15"/>
      <c r="B399" s="15"/>
      <c r="C399" s="15"/>
      <c r="D399" s="15"/>
      <c r="E399" s="15"/>
      <c r="F399" s="15"/>
      <c r="G399" s="15"/>
      <c r="H399" s="15"/>
      <c r="I399" s="4">
        <f t="shared" ref="I399" si="123">I387+1</f>
        <v>1896</v>
      </c>
      <c r="J399" s="14" t="s">
        <v>96</v>
      </c>
      <c r="K399" s="15">
        <v>2.75</v>
      </c>
      <c r="L399" s="15">
        <v>18.62</v>
      </c>
      <c r="M399" s="15">
        <v>3.01</v>
      </c>
      <c r="N399" s="105">
        <f t="shared" si="122"/>
        <v>2.7149323109834809</v>
      </c>
      <c r="O399" s="15">
        <v>33.659999999999997</v>
      </c>
      <c r="P399" s="15">
        <v>1.06</v>
      </c>
      <c r="Q399" s="15"/>
      <c r="R399" s="106">
        <v>397</v>
      </c>
      <c r="S399" s="15"/>
      <c r="T399" s="15"/>
      <c r="U399" s="15"/>
    </row>
    <row r="400" spans="1:21">
      <c r="A400" s="15"/>
      <c r="B400" s="15"/>
      <c r="C400" s="15"/>
      <c r="D400" s="15"/>
      <c r="E400" s="15"/>
      <c r="F400" s="15"/>
      <c r="G400" s="15"/>
      <c r="H400" s="15"/>
      <c r="J400" s="14" t="s">
        <v>97</v>
      </c>
      <c r="K400" s="15">
        <v>2.78</v>
      </c>
      <c r="L400" s="15">
        <v>19.27</v>
      </c>
      <c r="M400" s="15">
        <v>3.25</v>
      </c>
      <c r="N400" s="105">
        <f t="shared" si="122"/>
        <v>2.7471097216692244</v>
      </c>
      <c r="O400" s="15">
        <v>30.15</v>
      </c>
      <c r="P400" s="15">
        <v>1.1299999999999999</v>
      </c>
      <c r="Q400" s="15"/>
      <c r="R400" s="106">
        <v>398</v>
      </c>
      <c r="S400" s="15"/>
      <c r="T400" s="15"/>
      <c r="U400" s="15"/>
    </row>
    <row r="401" spans="1:21">
      <c r="A401" s="15"/>
      <c r="B401" s="15"/>
      <c r="C401" s="15"/>
      <c r="D401" s="15"/>
      <c r="E401" s="15"/>
      <c r="F401" s="15"/>
      <c r="G401" s="15"/>
      <c r="H401" s="15"/>
      <c r="J401" s="14" t="s">
        <v>130</v>
      </c>
      <c r="K401" s="15">
        <v>2.86</v>
      </c>
      <c r="L401" s="15">
        <v>18.5</v>
      </c>
      <c r="M401" s="15">
        <v>2.86</v>
      </c>
      <c r="N401" s="105">
        <f>N400+(N400*(RATE(($R$422-$R$392),0,N$392,-N$422)))</f>
        <v>2.7796684994167729</v>
      </c>
      <c r="O401" s="15">
        <v>30.59</v>
      </c>
      <c r="P401" s="15">
        <v>1.1200000000000001</v>
      </c>
      <c r="Q401" s="15"/>
      <c r="R401" s="106">
        <v>399</v>
      </c>
      <c r="S401" s="15"/>
      <c r="T401" s="15"/>
      <c r="U401" s="15"/>
    </row>
    <row r="402" spans="1:21">
      <c r="A402" s="15"/>
      <c r="B402" s="15"/>
      <c r="C402" s="15"/>
      <c r="D402" s="15"/>
      <c r="E402" s="15"/>
      <c r="F402" s="15"/>
      <c r="G402" s="15"/>
      <c r="H402" s="15"/>
      <c r="J402" s="14" t="s">
        <v>131</v>
      </c>
      <c r="K402" s="15">
        <v>2.8</v>
      </c>
      <c r="L402" s="15">
        <v>15.5</v>
      </c>
      <c r="M402" s="15">
        <v>3.04</v>
      </c>
      <c r="N402" s="105">
        <f t="shared" si="122"/>
        <v>2.8126131641931695</v>
      </c>
      <c r="O402" s="15">
        <v>28.08</v>
      </c>
      <c r="P402" s="15">
        <v>1.1200000000000001</v>
      </c>
      <c r="Q402" s="15"/>
      <c r="R402" s="106">
        <v>400</v>
      </c>
      <c r="S402" s="15"/>
      <c r="T402" s="15"/>
      <c r="U402" s="15"/>
    </row>
    <row r="403" spans="1:21">
      <c r="A403" s="15"/>
      <c r="B403" s="15"/>
      <c r="C403" s="15"/>
      <c r="D403" s="15"/>
      <c r="E403" s="15"/>
      <c r="F403" s="15"/>
      <c r="G403" s="15"/>
      <c r="H403" s="15"/>
      <c r="J403" s="14" t="s">
        <v>132</v>
      </c>
      <c r="K403" s="15">
        <v>2.8</v>
      </c>
      <c r="L403" s="15">
        <v>15.55</v>
      </c>
      <c r="M403" s="15">
        <v>3.18</v>
      </c>
      <c r="N403" s="105">
        <f t="shared" si="122"/>
        <v>2.8459482895361612</v>
      </c>
      <c r="O403" s="15">
        <v>29.52</v>
      </c>
      <c r="P403" s="15">
        <v>1.19</v>
      </c>
      <c r="Q403" s="15"/>
      <c r="R403" s="106">
        <v>401</v>
      </c>
      <c r="S403" s="15"/>
      <c r="T403" s="15"/>
      <c r="U403" s="15"/>
    </row>
    <row r="404" spans="1:21">
      <c r="A404" s="15"/>
      <c r="B404" s="15"/>
      <c r="C404" s="15"/>
      <c r="D404" s="15"/>
      <c r="E404" s="15"/>
      <c r="F404" s="15"/>
      <c r="G404" s="15"/>
      <c r="H404" s="15"/>
      <c r="J404" s="14" t="s">
        <v>133</v>
      </c>
      <c r="K404" s="15">
        <v>2.82</v>
      </c>
      <c r="L404" s="15">
        <v>16.75</v>
      </c>
      <c r="M404" s="15">
        <v>3.23</v>
      </c>
      <c r="N404" s="105">
        <f t="shared" si="122"/>
        <v>2.8796785031891203</v>
      </c>
      <c r="O404" s="15">
        <v>30.33</v>
      </c>
      <c r="P404" s="15">
        <v>1.1200000000000001</v>
      </c>
      <c r="Q404" s="15"/>
      <c r="R404" s="106">
        <v>402</v>
      </c>
      <c r="S404" s="15"/>
      <c r="T404" s="15"/>
      <c r="U404" s="15"/>
    </row>
    <row r="405" spans="1:21">
      <c r="A405" s="15"/>
      <c r="B405" s="15"/>
      <c r="C405" s="15"/>
      <c r="D405" s="15"/>
      <c r="E405" s="15"/>
      <c r="F405" s="15"/>
      <c r="G405" s="15"/>
      <c r="H405" s="15"/>
      <c r="J405" s="14" t="s">
        <v>134</v>
      </c>
      <c r="K405" s="15">
        <v>2.85</v>
      </c>
      <c r="L405" s="15">
        <v>15.45</v>
      </c>
      <c r="M405" s="15">
        <v>3.26</v>
      </c>
      <c r="N405" s="105">
        <f t="shared" si="122"/>
        <v>2.9138084877434896</v>
      </c>
      <c r="O405" s="15">
        <v>31.59</v>
      </c>
      <c r="P405" s="15">
        <v>1.05</v>
      </c>
      <c r="Q405" s="15"/>
      <c r="R405" s="106">
        <v>403</v>
      </c>
      <c r="S405" s="15"/>
      <c r="T405" s="15"/>
      <c r="U405" s="15"/>
    </row>
    <row r="406" spans="1:21">
      <c r="A406" s="15"/>
      <c r="B406" s="15"/>
      <c r="C406" s="15"/>
      <c r="D406" s="15"/>
      <c r="E406" s="15"/>
      <c r="F406" s="15"/>
      <c r="G406" s="15"/>
      <c r="H406" s="15"/>
      <c r="J406" s="14" t="s">
        <v>135</v>
      </c>
      <c r="K406" s="15">
        <v>2.63</v>
      </c>
      <c r="L406" s="15">
        <v>15</v>
      </c>
      <c r="M406" s="105">
        <f>M405+(M405*(RATE(($R$408-$R$405),0,M$405,-M$408)))</f>
        <v>3.0501098948130543</v>
      </c>
      <c r="N406" s="105">
        <f t="shared" si="122"/>
        <v>2.948342981288842</v>
      </c>
      <c r="O406" s="15">
        <v>31.02</v>
      </c>
      <c r="P406" s="15">
        <v>0.97</v>
      </c>
      <c r="Q406" s="15"/>
      <c r="R406" s="106">
        <v>404</v>
      </c>
      <c r="S406" s="15"/>
      <c r="T406" s="15"/>
      <c r="U406" s="15"/>
    </row>
    <row r="407" spans="1:21">
      <c r="A407" s="15"/>
      <c r="B407" s="15"/>
      <c r="C407" s="15"/>
      <c r="D407" s="15"/>
      <c r="E407" s="15"/>
      <c r="F407" s="15"/>
      <c r="G407" s="15"/>
      <c r="H407" s="15"/>
      <c r="J407" s="14" t="s">
        <v>136</v>
      </c>
      <c r="K407" s="15">
        <v>2.68</v>
      </c>
      <c r="L407" s="15">
        <v>14.249999999999998</v>
      </c>
      <c r="M407" s="105">
        <f>M406+(M406*(RATE(($R$408-$R$405),0,M$405,-M$408)))</f>
        <v>2.8537332424651849</v>
      </c>
      <c r="N407" s="105">
        <f t="shared" si="122"/>
        <v>2.9832867780706462</v>
      </c>
      <c r="O407" s="15">
        <v>26.39</v>
      </c>
      <c r="P407" s="15">
        <v>0.88</v>
      </c>
      <c r="Q407" s="15"/>
      <c r="R407" s="106">
        <v>405</v>
      </c>
      <c r="S407" s="15"/>
      <c r="T407" s="15"/>
      <c r="U407" s="15"/>
    </row>
    <row r="408" spans="1:21">
      <c r="A408" s="15"/>
      <c r="B408" s="15"/>
      <c r="C408" s="15"/>
      <c r="D408" s="15"/>
      <c r="E408" s="15"/>
      <c r="F408" s="15"/>
      <c r="G408" s="15"/>
      <c r="H408" s="15"/>
      <c r="J408" s="14" t="s">
        <v>192</v>
      </c>
      <c r="K408" s="15">
        <v>2.67</v>
      </c>
      <c r="L408" s="15">
        <v>16.100000000000001</v>
      </c>
      <c r="M408" s="15">
        <v>2.67</v>
      </c>
      <c r="N408" s="105">
        <f t="shared" si="122"/>
        <v>3.018644729155826</v>
      </c>
      <c r="O408" s="15">
        <v>26.77</v>
      </c>
      <c r="P408" s="15">
        <v>1.07</v>
      </c>
      <c r="Q408" s="15"/>
      <c r="R408" s="106">
        <v>406</v>
      </c>
      <c r="S408" s="15"/>
      <c r="T408" s="15"/>
      <c r="U408" s="15"/>
    </row>
    <row r="409" spans="1:21">
      <c r="A409" s="15"/>
      <c r="B409" s="15"/>
      <c r="C409" s="15"/>
      <c r="D409" s="15"/>
      <c r="E409" s="15"/>
      <c r="F409" s="15"/>
      <c r="G409" s="15"/>
      <c r="H409" s="15"/>
      <c r="J409" s="14" t="s">
        <v>193</v>
      </c>
      <c r="K409" s="15">
        <v>2.75</v>
      </c>
      <c r="L409" s="15">
        <v>17.62</v>
      </c>
      <c r="M409" s="15">
        <v>2.66</v>
      </c>
      <c r="N409" s="105">
        <f t="shared" si="122"/>
        <v>3.0544217431062095</v>
      </c>
      <c r="O409" s="15">
        <v>26.62</v>
      </c>
      <c r="P409" s="15">
        <v>1.1499999999999999</v>
      </c>
      <c r="Q409" s="15"/>
      <c r="R409" s="106">
        <v>407</v>
      </c>
      <c r="S409" s="15"/>
      <c r="T409" s="15"/>
      <c r="U409" s="15"/>
    </row>
    <row r="410" spans="1:21">
      <c r="A410" s="15"/>
      <c r="B410" s="15"/>
      <c r="C410" s="15"/>
      <c r="D410" s="15"/>
      <c r="E410" s="15"/>
      <c r="F410" s="15"/>
      <c r="G410" s="15"/>
      <c r="H410" s="15"/>
      <c r="J410" s="14" t="s">
        <v>194</v>
      </c>
      <c r="K410" s="15">
        <v>2.58</v>
      </c>
      <c r="L410" s="15">
        <v>17.12</v>
      </c>
      <c r="M410" s="15">
        <v>3.09</v>
      </c>
      <c r="N410" s="105">
        <f t="shared" si="122"/>
        <v>3.0906227866599587</v>
      </c>
      <c r="O410" s="15">
        <v>26.7</v>
      </c>
      <c r="P410" s="15">
        <v>1.1599999999999999</v>
      </c>
      <c r="Q410" s="15"/>
      <c r="R410" s="106">
        <v>408</v>
      </c>
      <c r="S410" s="15"/>
      <c r="T410" s="15"/>
      <c r="U410" s="15"/>
    </row>
    <row r="411" spans="1:21">
      <c r="A411" s="15"/>
      <c r="B411" s="15"/>
      <c r="C411" s="15"/>
      <c r="D411" s="15"/>
      <c r="E411" s="15"/>
      <c r="F411" s="15"/>
      <c r="G411" s="15"/>
      <c r="H411" s="15"/>
      <c r="I411" s="4">
        <f t="shared" ref="I411" si="124">I399+1</f>
        <v>1897</v>
      </c>
      <c r="J411" s="14" t="s">
        <v>96</v>
      </c>
      <c r="K411" s="15">
        <v>2.4</v>
      </c>
      <c r="L411" s="15">
        <v>17.3</v>
      </c>
      <c r="M411" s="15">
        <v>2.78</v>
      </c>
      <c r="N411" s="105">
        <f t="shared" si="122"/>
        <v>3.1272528854210768</v>
      </c>
      <c r="O411" s="15">
        <v>29.68</v>
      </c>
      <c r="P411" s="15">
        <v>1.21</v>
      </c>
      <c r="Q411" s="15"/>
      <c r="R411" s="106">
        <v>409</v>
      </c>
      <c r="S411" s="15"/>
      <c r="T411" s="15"/>
      <c r="U411" s="15"/>
    </row>
    <row r="412" spans="1:21">
      <c r="A412" s="15"/>
      <c r="B412" s="15"/>
      <c r="C412" s="15"/>
      <c r="D412" s="15"/>
      <c r="E412" s="15"/>
      <c r="F412" s="15"/>
      <c r="G412" s="15"/>
      <c r="H412" s="15"/>
      <c r="J412" s="14" t="s">
        <v>97</v>
      </c>
      <c r="K412" s="15">
        <v>2.36</v>
      </c>
      <c r="L412" s="15">
        <v>18.07</v>
      </c>
      <c r="M412" s="15">
        <v>3.25</v>
      </c>
      <c r="N412" s="105">
        <f t="shared" si="122"/>
        <v>3.1643171245570865</v>
      </c>
      <c r="O412" s="15">
        <v>27.38</v>
      </c>
      <c r="P412" s="15">
        <v>1.1499999999999999</v>
      </c>
      <c r="Q412" s="15"/>
      <c r="R412" s="106">
        <v>410</v>
      </c>
      <c r="S412" s="15"/>
      <c r="T412" s="15"/>
      <c r="U412" s="15"/>
    </row>
    <row r="413" spans="1:21">
      <c r="A413" s="15"/>
      <c r="B413" s="15"/>
      <c r="C413" s="15"/>
      <c r="D413" s="15"/>
      <c r="E413" s="15"/>
      <c r="F413" s="15"/>
      <c r="G413" s="15"/>
      <c r="H413" s="15"/>
      <c r="J413" s="14" t="s">
        <v>130</v>
      </c>
      <c r="K413" s="15">
        <v>2.2999999999999998</v>
      </c>
      <c r="L413" s="15">
        <v>18</v>
      </c>
      <c r="M413" s="15">
        <v>3.34</v>
      </c>
      <c r="N413" s="105">
        <f t="shared" si="122"/>
        <v>3.2018206495049775</v>
      </c>
      <c r="O413" s="15">
        <v>27.7</v>
      </c>
      <c r="P413" s="15">
        <v>1.1200000000000001</v>
      </c>
      <c r="Q413" s="15"/>
      <c r="R413" s="106">
        <v>411</v>
      </c>
      <c r="S413" s="15"/>
      <c r="T413" s="15"/>
      <c r="U413" s="15"/>
    </row>
    <row r="414" spans="1:21">
      <c r="A414" s="15"/>
      <c r="B414" s="15"/>
      <c r="C414" s="15"/>
      <c r="D414" s="15"/>
      <c r="E414" s="15"/>
      <c r="F414" s="15"/>
      <c r="G414" s="15"/>
      <c r="H414" s="15"/>
      <c r="J414" s="14" t="s">
        <v>131</v>
      </c>
      <c r="K414" s="15">
        <v>2.88</v>
      </c>
      <c r="L414" s="15">
        <v>16</v>
      </c>
      <c r="M414" s="15">
        <v>3.37</v>
      </c>
      <c r="N414" s="105">
        <f t="shared" si="122"/>
        <v>3.2397686666855217</v>
      </c>
      <c r="O414" s="15">
        <v>28.22</v>
      </c>
      <c r="P414" s="15">
        <v>1.1499999999999999</v>
      </c>
      <c r="Q414" s="15"/>
      <c r="R414" s="106">
        <v>412</v>
      </c>
      <c r="S414" s="15"/>
      <c r="T414" s="15"/>
      <c r="U414" s="15"/>
    </row>
    <row r="415" spans="1:21">
      <c r="A415" s="15"/>
      <c r="B415" s="15"/>
      <c r="C415" s="15"/>
      <c r="D415" s="15"/>
      <c r="E415" s="15"/>
      <c r="F415" s="15"/>
      <c r="G415" s="15"/>
      <c r="H415" s="15"/>
      <c r="J415" s="14" t="s">
        <v>132</v>
      </c>
      <c r="K415" s="15">
        <v>2.1800000000000002</v>
      </c>
      <c r="L415" s="15">
        <v>16</v>
      </c>
      <c r="M415" s="15">
        <v>3.31</v>
      </c>
      <c r="N415" s="105">
        <f t="shared" si="122"/>
        <v>3.278166444226053</v>
      </c>
      <c r="O415" s="15">
        <v>30.08</v>
      </c>
      <c r="P415" s="15">
        <v>1.19</v>
      </c>
      <c r="Q415" s="15"/>
      <c r="R415" s="106">
        <v>413</v>
      </c>
      <c r="S415" s="15"/>
      <c r="T415" s="15"/>
      <c r="U415" s="15"/>
    </row>
    <row r="416" spans="1:21">
      <c r="A416" s="15"/>
      <c r="B416" s="15"/>
      <c r="C416" s="15"/>
      <c r="D416" s="15"/>
      <c r="E416" s="15"/>
      <c r="F416" s="15"/>
      <c r="G416" s="15"/>
      <c r="H416" s="15"/>
      <c r="J416" s="14" t="s">
        <v>133</v>
      </c>
      <c r="K416" s="105">
        <f>K415+(K415*(RATE(($R$420-$R$415),0,K$415,-K$420)))</f>
        <v>2.2315078130932973</v>
      </c>
      <c r="L416" s="15">
        <v>16.25</v>
      </c>
      <c r="M416" s="15">
        <v>3.26</v>
      </c>
      <c r="N416" s="105">
        <f t="shared" si="122"/>
        <v>3.3170193126918139</v>
      </c>
      <c r="O416" s="15">
        <v>30.26</v>
      </c>
      <c r="P416" s="15">
        <v>1.1499999999999999</v>
      </c>
      <c r="Q416" s="15"/>
      <c r="R416" s="106">
        <v>414</v>
      </c>
      <c r="S416" s="15"/>
      <c r="T416" s="15"/>
      <c r="U416" s="15"/>
    </row>
    <row r="417" spans="1:21">
      <c r="A417" s="15"/>
      <c r="B417" s="15"/>
      <c r="C417" s="15"/>
      <c r="D417" s="15"/>
      <c r="E417" s="15"/>
      <c r="F417" s="15"/>
      <c r="G417" s="15"/>
      <c r="H417" s="15"/>
      <c r="J417" s="14" t="s">
        <v>134</v>
      </c>
      <c r="K417" s="105">
        <f>K416+(K416*(RATE(($R$420-$R$415),0,K$415,-K$420)))</f>
        <v>2.2842326238057016</v>
      </c>
      <c r="L417" s="105">
        <f>L416+(L416*(RATE(($R$418-$R$416),0,L$416,-L$418)))</f>
        <v>16.374522893812813</v>
      </c>
      <c r="M417" s="15">
        <v>3.24</v>
      </c>
      <c r="N417" s="105">
        <f t="shared" si="122"/>
        <v>3.3563326658259713</v>
      </c>
      <c r="O417" s="15">
        <v>31.23</v>
      </c>
      <c r="P417" s="105">
        <f t="shared" ref="P417:P431" si="125">P416+(P416*(RATE(($R$432-$R$416),0,P$416,-P$432)))</f>
        <v>1.1621184792489916</v>
      </c>
      <c r="Q417" s="15"/>
      <c r="R417" s="106">
        <v>415</v>
      </c>
      <c r="S417" s="15"/>
      <c r="T417" s="15"/>
      <c r="U417" s="15"/>
    </row>
    <row r="418" spans="1:21">
      <c r="A418" s="15"/>
      <c r="B418" s="15"/>
      <c r="C418" s="15"/>
      <c r="D418" s="15"/>
      <c r="E418" s="15"/>
      <c r="F418" s="15"/>
      <c r="G418" s="15"/>
      <c r="H418" s="15"/>
      <c r="J418" s="14" t="s">
        <v>135</v>
      </c>
      <c r="K418" s="105">
        <f>K417+(K417*(RATE(($R$420-$R$415),0,K$415,-K$420)))</f>
        <v>2.3382031866720299</v>
      </c>
      <c r="L418" s="15">
        <v>16.5</v>
      </c>
      <c r="M418" s="15">
        <v>3.45</v>
      </c>
      <c r="N418" s="105">
        <f t="shared" si="122"/>
        <v>3.3961119612984012</v>
      </c>
      <c r="O418" s="15">
        <v>30.79</v>
      </c>
      <c r="P418" s="105">
        <f t="shared" si="125"/>
        <v>1.1743646607060774</v>
      </c>
      <c r="Q418" s="15"/>
      <c r="R418" s="106">
        <v>416</v>
      </c>
      <c r="S418" s="15"/>
      <c r="T418" s="15"/>
      <c r="U418" s="15"/>
    </row>
    <row r="419" spans="1:21">
      <c r="A419" s="15"/>
      <c r="B419" s="15"/>
      <c r="C419" s="15"/>
      <c r="D419" s="15"/>
      <c r="E419" s="15"/>
      <c r="F419" s="15"/>
      <c r="G419" s="15"/>
      <c r="H419" s="15"/>
      <c r="J419" s="14" t="s">
        <v>136</v>
      </c>
      <c r="K419" s="105">
        <f>K418+(K418*(RATE(($R$420-$R$415),0,K$415,-K$420)))</f>
        <v>2.3934489356230642</v>
      </c>
      <c r="L419" s="15">
        <v>17.399999999999999</v>
      </c>
      <c r="M419" s="15">
        <v>3.66</v>
      </c>
      <c r="N419" s="105">
        <f t="shared" si="122"/>
        <v>3.4363627214633494</v>
      </c>
      <c r="O419" s="15">
        <v>32.96</v>
      </c>
      <c r="P419" s="105">
        <f t="shared" si="125"/>
        <v>1.1867398900726127</v>
      </c>
      <c r="Q419" s="15"/>
      <c r="R419" s="106">
        <v>417</v>
      </c>
      <c r="S419" s="15"/>
      <c r="T419" s="15"/>
      <c r="U419" s="15"/>
    </row>
    <row r="420" spans="1:21">
      <c r="A420" s="15"/>
      <c r="B420" s="15"/>
      <c r="C420" s="15"/>
      <c r="D420" s="15"/>
      <c r="E420" s="15"/>
      <c r="F420" s="15"/>
      <c r="G420" s="15"/>
      <c r="H420" s="15"/>
      <c r="J420" s="14" t="s">
        <v>192</v>
      </c>
      <c r="K420" s="15">
        <v>2.4500000000000002</v>
      </c>
      <c r="L420" s="15">
        <v>17.5</v>
      </c>
      <c r="M420" s="15">
        <v>3.26</v>
      </c>
      <c r="N420" s="105">
        <f t="shared" si="122"/>
        <v>3.4770905341260714</v>
      </c>
      <c r="O420" s="15">
        <v>33.69</v>
      </c>
      <c r="P420" s="105">
        <f t="shared" si="125"/>
        <v>1.1992455272306959</v>
      </c>
      <c r="Q420" s="15"/>
      <c r="R420" s="106">
        <v>418</v>
      </c>
      <c r="S420" s="15"/>
      <c r="T420" s="15"/>
      <c r="U420" s="15"/>
    </row>
    <row r="421" spans="1:21">
      <c r="A421" s="15"/>
      <c r="B421" s="15"/>
      <c r="C421" s="15"/>
      <c r="D421" s="15"/>
      <c r="E421" s="15"/>
      <c r="F421" s="15"/>
      <c r="G421" s="15"/>
      <c r="H421" s="15"/>
      <c r="J421" s="14" t="s">
        <v>193</v>
      </c>
      <c r="K421" s="15">
        <v>2.2400000000000002</v>
      </c>
      <c r="L421" s="15">
        <v>18.12</v>
      </c>
      <c r="M421" s="15">
        <v>3.43</v>
      </c>
      <c r="N421" s="105">
        <f t="shared" si="122"/>
        <v>3.5183010533185577</v>
      </c>
      <c r="O421" s="15">
        <v>34.020000000000003</v>
      </c>
      <c r="P421" s="105">
        <f t="shared" si="125"/>
        <v>1.2118829463926013</v>
      </c>
      <c r="Q421" s="15"/>
      <c r="R421" s="106">
        <v>419</v>
      </c>
      <c r="S421" s="15"/>
      <c r="T421" s="15"/>
      <c r="U421" s="15"/>
    </row>
    <row r="422" spans="1:21">
      <c r="A422" s="15"/>
      <c r="B422" s="15"/>
      <c r="C422" s="15"/>
      <c r="D422" s="15"/>
      <c r="E422" s="15"/>
      <c r="F422" s="15"/>
      <c r="G422" s="15"/>
      <c r="H422" s="15"/>
      <c r="J422" s="14" t="s">
        <v>194</v>
      </c>
      <c r="K422" s="15">
        <v>2.19</v>
      </c>
      <c r="L422" s="15">
        <v>19.25</v>
      </c>
      <c r="M422" s="15">
        <v>3.52</v>
      </c>
      <c r="N422" s="15">
        <v>3.56</v>
      </c>
      <c r="O422" s="15">
        <v>32.58</v>
      </c>
      <c r="P422" s="105">
        <f t="shared" si="125"/>
        <v>1.2246535362517887</v>
      </c>
      <c r="Q422" s="15"/>
      <c r="R422" s="106">
        <v>420</v>
      </c>
      <c r="S422" s="15"/>
      <c r="T422" s="15"/>
      <c r="U422" s="15"/>
    </row>
    <row r="423" spans="1:21">
      <c r="A423" s="15"/>
      <c r="B423" s="15"/>
      <c r="C423" s="15"/>
      <c r="D423" s="15"/>
      <c r="E423" s="15"/>
      <c r="F423" s="15"/>
      <c r="G423" s="15"/>
      <c r="H423" s="15"/>
      <c r="I423" s="4">
        <f t="shared" ref="I423" si="126">I411+1</f>
        <v>1898</v>
      </c>
      <c r="J423" s="14" t="s">
        <v>96</v>
      </c>
      <c r="K423" s="15">
        <v>2.31</v>
      </c>
      <c r="L423" s="15">
        <v>19.809999999999999</v>
      </c>
      <c r="M423" s="105">
        <f>M422+(M422*(RATE(($R$424-$R$422),0,M$422,-M$424)))</f>
        <v>3.4797701073490477</v>
      </c>
      <c r="N423" s="15">
        <v>3.27</v>
      </c>
      <c r="O423" s="15">
        <v>31</v>
      </c>
      <c r="P423" s="105">
        <f t="shared" si="125"/>
        <v>1.2375587001355031</v>
      </c>
      <c r="Q423" s="15"/>
      <c r="R423" s="106">
        <v>421</v>
      </c>
      <c r="S423" s="15"/>
      <c r="T423" s="15"/>
      <c r="U423" s="15"/>
    </row>
    <row r="424" spans="1:21">
      <c r="A424" s="15"/>
      <c r="B424" s="15"/>
      <c r="C424" s="15"/>
      <c r="D424" s="15"/>
      <c r="E424" s="15"/>
      <c r="F424" s="15"/>
      <c r="G424" s="15"/>
      <c r="H424" s="15"/>
      <c r="J424" s="14" t="s">
        <v>97</v>
      </c>
      <c r="K424" s="15">
        <v>2.2799999999999998</v>
      </c>
      <c r="L424" s="15">
        <v>20</v>
      </c>
      <c r="M424" s="15">
        <v>3.44</v>
      </c>
      <c r="N424" s="15">
        <v>3.27</v>
      </c>
      <c r="O424" s="15">
        <v>30.5</v>
      </c>
      <c r="P424" s="105">
        <f t="shared" si="125"/>
        <v>1.2505998561589824</v>
      </c>
      <c r="Q424" s="15"/>
      <c r="R424" s="106">
        <v>422</v>
      </c>
      <c r="S424" s="15"/>
      <c r="T424" s="15"/>
      <c r="U424" s="15"/>
    </row>
    <row r="425" spans="1:21">
      <c r="A425" s="15"/>
      <c r="B425" s="15"/>
      <c r="C425" s="15"/>
      <c r="D425" s="15"/>
      <c r="E425" s="15"/>
      <c r="F425" s="15"/>
      <c r="G425" s="15"/>
      <c r="H425" s="15"/>
      <c r="J425" s="14" t="s">
        <v>130</v>
      </c>
      <c r="K425" s="15">
        <v>2.62</v>
      </c>
      <c r="L425" s="15">
        <v>21.31</v>
      </c>
      <c r="M425" s="15">
        <v>3.5</v>
      </c>
      <c r="N425" s="15">
        <v>3.46</v>
      </c>
      <c r="O425" s="15">
        <v>32.5</v>
      </c>
      <c r="P425" s="105">
        <f t="shared" si="125"/>
        <v>1.2637784373812908</v>
      </c>
      <c r="Q425" s="15"/>
      <c r="R425" s="106">
        <v>423</v>
      </c>
      <c r="S425" s="15"/>
      <c r="T425" s="15"/>
      <c r="U425" s="15"/>
    </row>
    <row r="426" spans="1:21">
      <c r="A426" s="15"/>
      <c r="B426" s="15"/>
      <c r="C426" s="15"/>
      <c r="D426" s="15"/>
      <c r="E426" s="15"/>
      <c r="F426" s="15"/>
      <c r="G426" s="15"/>
      <c r="H426" s="15"/>
      <c r="J426" s="14" t="s">
        <v>131</v>
      </c>
      <c r="K426" s="15">
        <v>2.3199999999999998</v>
      </c>
      <c r="L426" s="15">
        <v>18.5</v>
      </c>
      <c r="M426" s="105">
        <f t="shared" ref="M426:M432" si="127">M425+(M425*(RATE(($R$433-$R$425),0,M$425,-M$433)))</f>
        <v>3.5430962627926905</v>
      </c>
      <c r="N426" s="15">
        <v>3.92</v>
      </c>
      <c r="O426" s="15">
        <v>32.5</v>
      </c>
      <c r="P426" s="105">
        <f t="shared" si="125"/>
        <v>1.2770958919627937</v>
      </c>
      <c r="Q426" s="15"/>
      <c r="R426" s="106">
        <v>424</v>
      </c>
      <c r="S426" s="15"/>
      <c r="T426" s="15"/>
      <c r="U426" s="15"/>
    </row>
    <row r="427" spans="1:21">
      <c r="A427" s="15"/>
      <c r="B427" s="15"/>
      <c r="C427" s="15"/>
      <c r="D427" s="15"/>
      <c r="E427" s="15"/>
      <c r="F427" s="15"/>
      <c r="G427" s="15"/>
      <c r="H427" s="15"/>
      <c r="J427" s="14" t="s">
        <v>132</v>
      </c>
      <c r="K427" s="15">
        <v>2.4700000000000002</v>
      </c>
      <c r="L427" s="15">
        <v>19.12</v>
      </c>
      <c r="M427" s="105">
        <f t="shared" si="127"/>
        <v>3.5867231792615804</v>
      </c>
      <c r="N427" s="105">
        <f t="shared" ref="N427:N433" si="128">N426+(N426*(RATE(($R$435-$R$426),0,N$426,-N$435)))</f>
        <v>3.760925235422699</v>
      </c>
      <c r="O427" s="15">
        <v>32</v>
      </c>
      <c r="P427" s="105">
        <f t="shared" si="125"/>
        <v>1.2905536833242925</v>
      </c>
      <c r="Q427" s="15"/>
      <c r="R427" s="106">
        <v>425</v>
      </c>
      <c r="S427" s="15"/>
      <c r="T427" s="15"/>
      <c r="U427" s="15"/>
    </row>
    <row r="428" spans="1:21">
      <c r="A428" s="15"/>
      <c r="B428" s="15"/>
      <c r="C428" s="15"/>
      <c r="D428" s="15"/>
      <c r="E428" s="15"/>
      <c r="F428" s="15"/>
      <c r="G428" s="15"/>
      <c r="H428" s="15"/>
      <c r="J428" s="14" t="s">
        <v>133</v>
      </c>
      <c r="K428" s="15">
        <v>2.52</v>
      </c>
      <c r="L428" s="15">
        <v>19.25</v>
      </c>
      <c r="M428" s="105">
        <f>M427+(M427*(RATE(($R$433-$R$425),0,M$425,-M$433)))</f>
        <v>3.6308872834610351</v>
      </c>
      <c r="N428" s="105">
        <f t="shared" si="128"/>
        <v>3.608305772050838</v>
      </c>
      <c r="O428" s="15">
        <v>31.75</v>
      </c>
      <c r="P428" s="105">
        <f>P427+(P427*(RATE(($R$432-$R$416),0,P$416,-P$432)))</f>
        <v>1.3041532903078363</v>
      </c>
      <c r="Q428" s="15"/>
      <c r="R428" s="106">
        <v>426</v>
      </c>
      <c r="S428" s="15"/>
      <c r="T428" s="15"/>
      <c r="U428" s="15"/>
    </row>
    <row r="429" spans="1:21">
      <c r="A429" s="15"/>
      <c r="B429" s="15"/>
      <c r="C429" s="15"/>
      <c r="D429" s="15"/>
      <c r="E429" s="15"/>
      <c r="F429" s="15"/>
      <c r="G429" s="15"/>
      <c r="H429" s="15"/>
      <c r="J429" s="14" t="s">
        <v>134</v>
      </c>
      <c r="K429" s="15">
        <v>2.56</v>
      </c>
      <c r="L429" s="105">
        <f>L428+(L428*(RATE(($R$432-$R$428),0,L$428,-L$432)))</f>
        <v>18.863515781212779</v>
      </c>
      <c r="M429" s="105">
        <f t="shared" si="127"/>
        <v>3.6755951899006565</v>
      </c>
      <c r="N429" s="105">
        <f t="shared" si="128"/>
        <v>3.46187965184372</v>
      </c>
      <c r="O429" s="15">
        <v>31.75</v>
      </c>
      <c r="P429" s="105">
        <f t="shared" si="125"/>
        <v>1.3178962073392275</v>
      </c>
      <c r="Q429" s="15"/>
      <c r="R429" s="106">
        <v>427</v>
      </c>
      <c r="S429" s="15"/>
      <c r="T429" s="15"/>
      <c r="U429" s="15"/>
    </row>
    <row r="430" spans="1:21">
      <c r="A430" s="15"/>
      <c r="B430" s="15"/>
      <c r="C430" s="15"/>
      <c r="D430" s="15"/>
      <c r="E430" s="15"/>
      <c r="F430" s="15"/>
      <c r="G430" s="15"/>
      <c r="H430" s="15"/>
      <c r="J430" s="14" t="s">
        <v>135</v>
      </c>
      <c r="K430" s="15">
        <v>2.4900000000000002</v>
      </c>
      <c r="L430" s="105">
        <f>L429+(L429*(RATE(($R$432-$R$428),0,L$428,-L$432)))</f>
        <v>18.48479104561369</v>
      </c>
      <c r="M430" s="105">
        <f t="shared" si="127"/>
        <v>3.7208535945359444</v>
      </c>
      <c r="N430" s="105">
        <f>N429+(N429*(RATE(($R$435-$R$426),0,N$426,-N$435)))</f>
        <v>3.3213955470957641</v>
      </c>
      <c r="O430" s="15">
        <v>32.25</v>
      </c>
      <c r="P430" s="105">
        <f t="shared" si="125"/>
        <v>1.3317839445922408</v>
      </c>
      <c r="Q430" s="15"/>
      <c r="R430" s="106">
        <v>428</v>
      </c>
      <c r="S430" s="15"/>
      <c r="T430" s="15"/>
      <c r="U430" s="15"/>
    </row>
    <row r="431" spans="1:21">
      <c r="A431" s="15"/>
      <c r="B431" s="15"/>
      <c r="C431" s="15"/>
      <c r="D431" s="15"/>
      <c r="E431" s="15"/>
      <c r="F431" s="15"/>
      <c r="G431" s="15"/>
      <c r="H431" s="15"/>
      <c r="J431" s="14" t="s">
        <v>136</v>
      </c>
      <c r="K431" s="15">
        <v>2.62</v>
      </c>
      <c r="L431" s="105">
        <f>L430+(L430*(RATE(($R$432-$R$428),0,L$428,-L$432)))</f>
        <v>18.113670005265167</v>
      </c>
      <c r="M431" s="105">
        <f t="shared" si="127"/>
        <v>3.7666692757711582</v>
      </c>
      <c r="N431" s="105">
        <f t="shared" si="128"/>
        <v>3.1866123290543471</v>
      </c>
      <c r="O431" s="15">
        <v>33.5</v>
      </c>
      <c r="P431" s="105">
        <f t="shared" si="125"/>
        <v>1.3458180281545724</v>
      </c>
      <c r="Q431" s="15"/>
      <c r="R431" s="106">
        <v>429</v>
      </c>
      <c r="S431" s="15"/>
      <c r="T431" s="15"/>
      <c r="U431" s="15"/>
    </row>
    <row r="432" spans="1:21">
      <c r="A432" s="15"/>
      <c r="B432" s="15"/>
      <c r="C432" s="15"/>
      <c r="D432" s="15"/>
      <c r="E432" s="15"/>
      <c r="F432" s="15"/>
      <c r="G432" s="15"/>
      <c r="H432" s="15"/>
      <c r="J432" s="14" t="s">
        <v>192</v>
      </c>
      <c r="K432" s="15">
        <v>2.33</v>
      </c>
      <c r="L432" s="15">
        <v>17.75</v>
      </c>
      <c r="M432" s="105">
        <f t="shared" si="127"/>
        <v>3.813049095474526</v>
      </c>
      <c r="N432" s="105">
        <f t="shared" si="128"/>
        <v>3.0572986540432643</v>
      </c>
      <c r="O432" s="15">
        <v>33.5</v>
      </c>
      <c r="P432" s="15">
        <v>1.36</v>
      </c>
      <c r="Q432" s="15"/>
      <c r="R432" s="106">
        <v>430</v>
      </c>
      <c r="S432" s="15"/>
      <c r="T432" s="15"/>
      <c r="U432" s="15"/>
    </row>
    <row r="433" spans="1:21">
      <c r="A433" s="15"/>
      <c r="B433" s="15"/>
      <c r="C433" s="15"/>
      <c r="D433" s="15"/>
      <c r="E433" s="15"/>
      <c r="F433" s="15"/>
      <c r="G433" s="15"/>
      <c r="H433" s="15"/>
      <c r="J433" s="14" t="s">
        <v>193</v>
      </c>
      <c r="K433" s="15">
        <v>2.46</v>
      </c>
      <c r="L433" s="15">
        <v>18.12</v>
      </c>
      <c r="M433" s="15">
        <v>3.86</v>
      </c>
      <c r="N433" s="105">
        <f t="shared" si="128"/>
        <v>2.9332325663814198</v>
      </c>
      <c r="O433" s="15">
        <v>34.25</v>
      </c>
      <c r="P433" s="15">
        <v>1.46</v>
      </c>
      <c r="Q433" s="15"/>
      <c r="R433" s="106">
        <v>431</v>
      </c>
      <c r="S433" s="15"/>
      <c r="T433" s="15"/>
      <c r="U433" s="15"/>
    </row>
    <row r="434" spans="1:21">
      <c r="A434" s="15"/>
      <c r="B434" s="15"/>
      <c r="C434" s="15"/>
      <c r="D434" s="15"/>
      <c r="E434" s="15"/>
      <c r="F434" s="15"/>
      <c r="G434" s="15"/>
      <c r="H434" s="15"/>
      <c r="J434" s="14" t="s">
        <v>194</v>
      </c>
      <c r="K434" s="15">
        <v>2.85</v>
      </c>
      <c r="L434" s="15">
        <v>18.95</v>
      </c>
      <c r="M434" s="15">
        <v>3.7</v>
      </c>
      <c r="N434" s="105">
        <f>N433+(N433*(RATE(($R$435-$R$426),0,N$426,-N$435)))</f>
        <v>2.8142011174151964</v>
      </c>
      <c r="O434" s="15">
        <v>33.5</v>
      </c>
      <c r="P434" s="15">
        <v>1.55</v>
      </c>
      <c r="Q434" s="15"/>
      <c r="R434" s="106">
        <v>432</v>
      </c>
      <c r="S434" s="15"/>
      <c r="T434" s="15"/>
      <c r="U434" s="15"/>
    </row>
    <row r="435" spans="1:21">
      <c r="A435" s="15"/>
      <c r="B435" s="15"/>
      <c r="C435" s="15"/>
      <c r="D435" s="15"/>
      <c r="E435" s="15"/>
      <c r="F435" s="15"/>
      <c r="G435" s="15"/>
      <c r="H435" s="15"/>
      <c r="I435" s="4">
        <f t="shared" ref="I435" si="129">I423+1</f>
        <v>1899</v>
      </c>
      <c r="J435" s="14" t="s">
        <v>96</v>
      </c>
      <c r="K435" s="15">
        <v>3.04</v>
      </c>
      <c r="L435" s="15">
        <v>19.600000000000001</v>
      </c>
      <c r="M435" s="15">
        <v>3.72</v>
      </c>
      <c r="N435" s="15">
        <v>2.7</v>
      </c>
      <c r="O435" s="15">
        <v>32.5</v>
      </c>
      <c r="P435" s="15">
        <v>1.51</v>
      </c>
      <c r="Q435" s="15"/>
      <c r="R435" s="106">
        <v>433</v>
      </c>
      <c r="S435" s="15"/>
      <c r="T435" s="15"/>
      <c r="U435" s="15"/>
    </row>
    <row r="436" spans="1:21">
      <c r="A436" s="15"/>
      <c r="B436" s="15"/>
      <c r="C436" s="15"/>
      <c r="D436" s="15"/>
      <c r="E436" s="15"/>
      <c r="F436" s="15"/>
      <c r="G436" s="15"/>
      <c r="H436" s="15"/>
      <c r="J436" s="14" t="s">
        <v>97</v>
      </c>
      <c r="K436" s="15">
        <v>3.07</v>
      </c>
      <c r="L436" s="15">
        <v>20.7</v>
      </c>
      <c r="M436" s="15">
        <v>3.62</v>
      </c>
      <c r="N436" s="15">
        <v>2.46</v>
      </c>
      <c r="O436" s="15">
        <v>34</v>
      </c>
      <c r="P436" s="15">
        <v>1.37</v>
      </c>
      <c r="Q436" s="15"/>
      <c r="R436" s="106">
        <v>434</v>
      </c>
      <c r="S436" s="15"/>
      <c r="T436" s="15"/>
      <c r="U436" s="15"/>
    </row>
    <row r="437" spans="1:21">
      <c r="A437" s="15"/>
      <c r="B437" s="15"/>
      <c r="C437" s="15"/>
      <c r="D437" s="15"/>
      <c r="E437" s="15"/>
      <c r="F437" s="15"/>
      <c r="G437" s="15"/>
      <c r="H437" s="15"/>
      <c r="J437" s="14" t="s">
        <v>130</v>
      </c>
      <c r="K437" s="15">
        <v>3.07</v>
      </c>
      <c r="L437" s="15">
        <v>20.37</v>
      </c>
      <c r="M437" s="15">
        <v>3.48</v>
      </c>
      <c r="N437" s="15">
        <v>2.42</v>
      </c>
      <c r="O437" s="15">
        <v>34.25</v>
      </c>
      <c r="P437" s="15">
        <v>1.45</v>
      </c>
      <c r="Q437" s="15"/>
      <c r="R437" s="106">
        <v>435</v>
      </c>
      <c r="S437" s="15"/>
      <c r="T437" s="15"/>
      <c r="U437" s="15"/>
    </row>
    <row r="438" spans="1:21">
      <c r="A438" s="15"/>
      <c r="B438" s="15"/>
      <c r="C438" s="15"/>
      <c r="D438" s="15"/>
      <c r="E438" s="15"/>
      <c r="F438" s="15"/>
      <c r="G438" s="15"/>
      <c r="H438" s="15"/>
      <c r="J438" s="14" t="s">
        <v>131</v>
      </c>
      <c r="K438" s="15">
        <v>3.47</v>
      </c>
      <c r="L438" s="15">
        <v>17.62</v>
      </c>
      <c r="M438" s="15">
        <v>3.36</v>
      </c>
      <c r="N438" s="15">
        <v>2.44</v>
      </c>
      <c r="O438" s="15">
        <v>35.5</v>
      </c>
      <c r="P438" s="15">
        <v>1.38</v>
      </c>
      <c r="Q438" s="15"/>
      <c r="R438" s="106">
        <v>436</v>
      </c>
      <c r="S438" s="15"/>
      <c r="T438" s="15"/>
      <c r="U438" s="15"/>
    </row>
    <row r="439" spans="1:21">
      <c r="A439" s="15"/>
      <c r="B439" s="15"/>
      <c r="C439" s="15"/>
      <c r="D439" s="15"/>
      <c r="E439" s="15"/>
      <c r="F439" s="15"/>
      <c r="G439" s="15"/>
      <c r="H439" s="15"/>
      <c r="J439" s="14" t="s">
        <v>132</v>
      </c>
      <c r="K439" s="15">
        <v>3.42</v>
      </c>
      <c r="L439" s="15">
        <v>17.25</v>
      </c>
      <c r="M439" s="15">
        <v>3.45</v>
      </c>
      <c r="N439" s="15">
        <v>2.57</v>
      </c>
      <c r="O439" s="15">
        <v>36</v>
      </c>
      <c r="P439" s="15">
        <v>1.1599999999999999</v>
      </c>
      <c r="Q439" s="15"/>
      <c r="R439" s="106">
        <v>437</v>
      </c>
      <c r="S439" s="15"/>
      <c r="T439" s="15"/>
      <c r="U439" s="15"/>
    </row>
    <row r="440" spans="1:21">
      <c r="A440" s="15"/>
      <c r="B440" s="15"/>
      <c r="C440" s="15"/>
      <c r="D440" s="15"/>
      <c r="E440" s="15"/>
      <c r="F440" s="15"/>
      <c r="G440" s="15"/>
      <c r="H440" s="15"/>
      <c r="J440" s="14" t="s">
        <v>133</v>
      </c>
      <c r="K440" s="15">
        <v>3.55</v>
      </c>
      <c r="L440" s="15">
        <v>17.62</v>
      </c>
      <c r="M440" s="15">
        <v>3.62</v>
      </c>
      <c r="N440" s="15">
        <v>2.4700000000000002</v>
      </c>
      <c r="O440" s="15">
        <v>36</v>
      </c>
      <c r="P440" s="15">
        <v>1.17</v>
      </c>
      <c r="Q440" s="15"/>
      <c r="R440" s="106">
        <v>438</v>
      </c>
      <c r="S440" s="15"/>
      <c r="T440" s="15"/>
      <c r="U440" s="15"/>
    </row>
    <row r="441" spans="1:21">
      <c r="A441" s="15"/>
      <c r="B441" s="15"/>
      <c r="C441" s="15"/>
      <c r="D441" s="15"/>
      <c r="E441" s="15"/>
      <c r="F441" s="15"/>
      <c r="G441" s="15"/>
      <c r="H441" s="15"/>
      <c r="J441" s="14" t="s">
        <v>134</v>
      </c>
      <c r="K441" s="105">
        <f>K440+(K440*(RATE(($R$444-$R$440),0,K$440,-K$444)))</f>
        <v>3.6824064302921928</v>
      </c>
      <c r="L441" s="15">
        <v>17.5</v>
      </c>
      <c r="M441" s="15">
        <v>3.77</v>
      </c>
      <c r="N441" s="15">
        <v>2.4300000000000002</v>
      </c>
      <c r="O441" s="15">
        <v>37.25</v>
      </c>
      <c r="P441" s="15">
        <v>1.1399999999999999</v>
      </c>
      <c r="Q441" s="15"/>
      <c r="R441" s="106">
        <v>439</v>
      </c>
      <c r="S441" s="15"/>
      <c r="T441" s="15"/>
      <c r="U441" s="15"/>
    </row>
    <row r="442" spans="1:21">
      <c r="A442" s="15"/>
      <c r="B442" s="15"/>
      <c r="C442" s="15"/>
      <c r="D442" s="15"/>
      <c r="E442" s="15"/>
      <c r="F442" s="15"/>
      <c r="G442" s="15"/>
      <c r="H442" s="15"/>
      <c r="J442" s="14" t="s">
        <v>135</v>
      </c>
      <c r="K442" s="105">
        <f t="shared" ref="K442:K443" si="130">K441+(K441*(RATE(($R$444-$R$440),0,K$440,-K$444)))</f>
        <v>3.8197513008048705</v>
      </c>
      <c r="L442" s="105">
        <f>L441+(L441*(RATE(($R$443-$R$441),0,L$441,-L$443)))</f>
        <v>17.993054215503193</v>
      </c>
      <c r="M442" s="15">
        <v>3.52</v>
      </c>
      <c r="N442" s="15">
        <v>2.31</v>
      </c>
      <c r="O442" s="15">
        <v>36.25</v>
      </c>
      <c r="P442" s="15">
        <v>1.08</v>
      </c>
      <c r="Q442" s="15"/>
      <c r="R442" s="106">
        <v>440</v>
      </c>
      <c r="S442" s="15"/>
      <c r="T442" s="15"/>
      <c r="U442" s="15"/>
    </row>
    <row r="443" spans="1:21">
      <c r="A443" s="15"/>
      <c r="B443" s="15"/>
      <c r="C443" s="15"/>
      <c r="D443" s="15"/>
      <c r="E443" s="15"/>
      <c r="F443" s="15"/>
      <c r="G443" s="15"/>
      <c r="H443" s="15"/>
      <c r="J443" s="14" t="s">
        <v>136</v>
      </c>
      <c r="K443" s="105">
        <f t="shared" si="130"/>
        <v>3.9622188034368517</v>
      </c>
      <c r="L443" s="15">
        <v>18.5</v>
      </c>
      <c r="M443" s="15">
        <v>4.2300000000000004</v>
      </c>
      <c r="N443" s="15">
        <v>2.27</v>
      </c>
      <c r="O443" s="15">
        <v>36.5</v>
      </c>
      <c r="P443" s="15">
        <v>1.03</v>
      </c>
      <c r="Q443" s="15"/>
      <c r="R443" s="106">
        <v>441</v>
      </c>
      <c r="S443" s="15"/>
      <c r="T443" s="15"/>
      <c r="U443" s="15"/>
    </row>
    <row r="444" spans="1:21">
      <c r="A444" s="15"/>
      <c r="B444" s="15"/>
      <c r="C444" s="15"/>
      <c r="D444" s="15"/>
      <c r="E444" s="15"/>
      <c r="F444" s="15"/>
      <c r="G444" s="15"/>
      <c r="H444" s="15"/>
      <c r="J444" s="14" t="s">
        <v>192</v>
      </c>
      <c r="K444" s="15">
        <v>4.1100000000000003</v>
      </c>
      <c r="L444" s="15">
        <v>22</v>
      </c>
      <c r="M444" s="15">
        <v>4.4000000000000004</v>
      </c>
      <c r="N444" s="15">
        <v>2.27</v>
      </c>
      <c r="O444" s="15">
        <v>35</v>
      </c>
      <c r="P444" s="15">
        <v>1.1599999999999999</v>
      </c>
      <c r="Q444" s="15"/>
      <c r="R444" s="106">
        <v>442</v>
      </c>
      <c r="S444" s="15"/>
      <c r="T444" s="15"/>
      <c r="U444" s="15"/>
    </row>
    <row r="445" spans="1:21">
      <c r="A445" s="15"/>
      <c r="B445" s="15"/>
      <c r="C445" s="15"/>
      <c r="D445" s="15"/>
      <c r="E445" s="15"/>
      <c r="F445" s="15"/>
      <c r="G445" s="15"/>
      <c r="H445" s="15"/>
      <c r="J445" s="14" t="s">
        <v>193</v>
      </c>
      <c r="K445" s="15">
        <v>4.3099999999999996</v>
      </c>
      <c r="L445" s="15">
        <v>23.68</v>
      </c>
      <c r="M445" s="15">
        <v>4.43</v>
      </c>
      <c r="N445" s="15">
        <v>2.2000000000000002</v>
      </c>
      <c r="O445" s="15">
        <v>36.75</v>
      </c>
      <c r="P445" s="15">
        <v>1.1499999999999999</v>
      </c>
      <c r="Q445" s="15"/>
      <c r="R445" s="106">
        <v>443</v>
      </c>
      <c r="S445" s="15"/>
      <c r="T445" s="15"/>
      <c r="U445" s="15"/>
    </row>
    <row r="446" spans="1:21">
      <c r="A446" s="15"/>
      <c r="B446" s="15"/>
      <c r="C446" s="15"/>
      <c r="D446" s="15"/>
      <c r="E446" s="15"/>
      <c r="F446" s="15"/>
      <c r="G446" s="15"/>
      <c r="H446" s="15"/>
      <c r="J446" s="14" t="s">
        <v>194</v>
      </c>
      <c r="K446" s="15">
        <v>4.3099999999999996</v>
      </c>
      <c r="L446" s="15">
        <v>23.05</v>
      </c>
      <c r="M446" s="15">
        <v>4.4000000000000004</v>
      </c>
      <c r="N446" s="15">
        <v>2.21</v>
      </c>
      <c r="O446" s="15">
        <v>37.5</v>
      </c>
      <c r="P446" s="15">
        <v>1.19</v>
      </c>
      <c r="Q446" s="15"/>
      <c r="R446" s="106">
        <v>444</v>
      </c>
      <c r="S446" s="15"/>
      <c r="T446" s="15"/>
      <c r="U446" s="15"/>
    </row>
    <row r="447" spans="1:21">
      <c r="A447" s="15"/>
      <c r="B447" s="15"/>
      <c r="C447" s="15"/>
      <c r="D447" s="15"/>
      <c r="E447" s="15"/>
      <c r="F447" s="15"/>
      <c r="G447" s="15"/>
      <c r="H447" s="15"/>
      <c r="I447" s="4">
        <f t="shared" ref="I447" si="131">I435+1</f>
        <v>1900</v>
      </c>
      <c r="J447" s="14" t="s">
        <v>96</v>
      </c>
      <c r="K447" s="15">
        <v>3.82</v>
      </c>
      <c r="L447" s="105">
        <f>L446+(L446*(RATE(($R$448-$R$446),0,L$446,-L$448)))</f>
        <v>23.884880154636207</v>
      </c>
      <c r="M447" s="15">
        <v>4.26</v>
      </c>
      <c r="N447" s="15">
        <v>2.17</v>
      </c>
      <c r="O447" s="15">
        <v>36.75</v>
      </c>
      <c r="P447" s="15">
        <v>1.1599999999999999</v>
      </c>
      <c r="Q447" s="15"/>
      <c r="R447" s="106">
        <v>445</v>
      </c>
      <c r="S447" s="15"/>
      <c r="T447" s="15"/>
      <c r="U447" s="15"/>
    </row>
    <row r="448" spans="1:21">
      <c r="A448" s="15"/>
      <c r="B448" s="15"/>
      <c r="C448" s="15"/>
      <c r="D448" s="15"/>
      <c r="E448" s="15"/>
      <c r="F448" s="15"/>
      <c r="G448" s="15"/>
      <c r="H448" s="15"/>
      <c r="J448" s="14" t="s">
        <v>97</v>
      </c>
      <c r="K448" s="15">
        <v>3.65</v>
      </c>
      <c r="L448" s="15">
        <v>24.75</v>
      </c>
      <c r="M448" s="15">
        <v>4.62</v>
      </c>
      <c r="N448" s="15">
        <v>2.3199999999999998</v>
      </c>
      <c r="O448" s="15">
        <v>39</v>
      </c>
      <c r="P448" s="105">
        <f t="shared" ref="P448:P452" si="132">P447+(P447*(RATE(($R$453-$R$447),0,P$447,-P$453)))</f>
        <v>1.2458095567486629</v>
      </c>
      <c r="Q448" s="15"/>
      <c r="R448" s="106">
        <v>446</v>
      </c>
      <c r="S448" s="15"/>
      <c r="T448" s="15"/>
      <c r="U448" s="15"/>
    </row>
    <row r="449" spans="1:21">
      <c r="A449" s="15"/>
      <c r="B449" s="15"/>
      <c r="C449" s="15"/>
      <c r="D449" s="15"/>
      <c r="E449" s="15"/>
      <c r="F449" s="15"/>
      <c r="G449" s="15"/>
      <c r="H449" s="15"/>
      <c r="J449" s="14" t="s">
        <v>130</v>
      </c>
      <c r="K449" s="15">
        <v>3.74</v>
      </c>
      <c r="L449" s="15">
        <v>24.15</v>
      </c>
      <c r="M449" s="15">
        <v>4.46</v>
      </c>
      <c r="N449" s="15">
        <v>2.2799999999999998</v>
      </c>
      <c r="O449" s="15">
        <v>39</v>
      </c>
      <c r="P449" s="105">
        <f t="shared" si="132"/>
        <v>1.3379667686950862</v>
      </c>
      <c r="Q449" s="15"/>
      <c r="R449" s="106">
        <v>447</v>
      </c>
      <c r="S449" s="15"/>
      <c r="T449" s="15"/>
      <c r="U449" s="15"/>
    </row>
    <row r="450" spans="1:21">
      <c r="A450" s="15"/>
      <c r="B450" s="15"/>
      <c r="C450" s="15"/>
      <c r="D450" s="15"/>
      <c r="E450" s="15"/>
      <c r="F450" s="15"/>
      <c r="G450" s="15"/>
      <c r="H450" s="15"/>
      <c r="J450" s="14" t="s">
        <v>131</v>
      </c>
      <c r="K450" s="15">
        <v>3.22</v>
      </c>
      <c r="L450" s="15">
        <v>19.72</v>
      </c>
      <c r="M450" s="15">
        <v>5.22</v>
      </c>
      <c r="N450" s="15">
        <v>2.39</v>
      </c>
      <c r="O450" s="105">
        <f t="shared" ref="O450:O460" si="133">O449+(O449*(RATE(($R$461-$R$449),0,O$449,-O$461)))</f>
        <v>39.646089518292776</v>
      </c>
      <c r="P450" s="105">
        <f>P449+(P449*(RATE(($R$453-$R$447),0,P$447,-P$453)))</f>
        <v>1.4369411957348848</v>
      </c>
      <c r="Q450" s="15"/>
      <c r="R450" s="106">
        <v>448</v>
      </c>
      <c r="S450" s="15"/>
      <c r="T450" s="15"/>
      <c r="U450" s="15"/>
    </row>
    <row r="451" spans="1:21">
      <c r="A451" s="15"/>
      <c r="B451" s="15"/>
      <c r="C451" s="15"/>
      <c r="D451" s="15"/>
      <c r="E451" s="15"/>
      <c r="F451" s="15"/>
      <c r="G451" s="15"/>
      <c r="H451" s="15"/>
      <c r="J451" s="14" t="s">
        <v>132</v>
      </c>
      <c r="K451" s="15">
        <v>3.03</v>
      </c>
      <c r="L451" s="15">
        <v>19.32</v>
      </c>
      <c r="M451" s="15">
        <v>5.9</v>
      </c>
      <c r="N451" s="15">
        <v>2.2599999999999998</v>
      </c>
      <c r="O451" s="105">
        <f t="shared" si="133"/>
        <v>40.302882412627795</v>
      </c>
      <c r="P451" s="105">
        <f t="shared" si="132"/>
        <v>1.5432371328727332</v>
      </c>
      <c r="Q451" s="15"/>
      <c r="R451" s="106">
        <v>449</v>
      </c>
      <c r="S451" s="15"/>
      <c r="T451" s="15"/>
      <c r="U451" s="15"/>
    </row>
    <row r="452" spans="1:21">
      <c r="A452" s="15"/>
      <c r="B452" s="15"/>
      <c r="C452" s="15"/>
      <c r="D452" s="15"/>
      <c r="E452" s="15"/>
      <c r="F452" s="15"/>
      <c r="G452" s="15"/>
      <c r="H452" s="15"/>
      <c r="J452" s="14" t="s">
        <v>133</v>
      </c>
      <c r="K452" s="15">
        <v>2.98</v>
      </c>
      <c r="L452" s="15">
        <v>19</v>
      </c>
      <c r="M452" s="15">
        <v>6.11</v>
      </c>
      <c r="N452" s="15">
        <v>2.98</v>
      </c>
      <c r="O452" s="105">
        <f>O451+(O451*(RATE(($R$461-$R$449),0,O$449,-O$461)))</f>
        <v>40.970555999391514</v>
      </c>
      <c r="P452" s="105">
        <f t="shared" si="132"/>
        <v>1.6573961797088423</v>
      </c>
      <c r="Q452" s="15"/>
      <c r="R452" s="106">
        <v>450</v>
      </c>
      <c r="S452" s="15"/>
      <c r="T452" s="15"/>
      <c r="U452" s="15"/>
    </row>
    <row r="453" spans="1:21">
      <c r="A453" s="15"/>
      <c r="B453" s="15"/>
      <c r="C453" s="15"/>
      <c r="D453" s="15"/>
      <c r="E453" s="15"/>
      <c r="F453" s="15"/>
      <c r="G453" s="15"/>
      <c r="H453" s="15"/>
      <c r="J453" s="14" t="s">
        <v>134</v>
      </c>
      <c r="K453" s="15">
        <v>2.6</v>
      </c>
      <c r="L453" s="15">
        <v>18.75</v>
      </c>
      <c r="M453" s="15">
        <v>5.97</v>
      </c>
      <c r="N453" s="15">
        <v>2.69</v>
      </c>
      <c r="O453" s="105">
        <f t="shared" si="133"/>
        <v>41.649290532464178</v>
      </c>
      <c r="P453" s="15">
        <v>1.78</v>
      </c>
      <c r="Q453" s="15"/>
      <c r="R453" s="106">
        <v>451</v>
      </c>
      <c r="S453" s="15"/>
      <c r="T453" s="15"/>
      <c r="U453" s="15"/>
    </row>
    <row r="454" spans="1:21">
      <c r="A454" s="15"/>
      <c r="B454" s="15"/>
      <c r="C454" s="15"/>
      <c r="D454" s="15"/>
      <c r="E454" s="15"/>
      <c r="F454" s="15"/>
      <c r="G454" s="15"/>
      <c r="H454" s="15"/>
      <c r="J454" s="14" t="s">
        <v>135</v>
      </c>
      <c r="K454" s="15">
        <v>2.59</v>
      </c>
      <c r="L454" s="105">
        <f>L453+(L453*(RATE(($R$455-$R$453),0,L$453,-L$455)))</f>
        <v>18.75</v>
      </c>
      <c r="M454" s="105">
        <f t="shared" ref="M454:M458" si="134">M453+(M453*(RATE(($R$459-$R$453),0,M$453,-M$459)))</f>
        <v>5.7786384720856718</v>
      </c>
      <c r="N454" s="15">
        <v>2.75</v>
      </c>
      <c r="O454" s="105">
        <f t="shared" si="133"/>
        <v>42.33926925188355</v>
      </c>
      <c r="P454" s="15">
        <v>1.78</v>
      </c>
      <c r="Q454" s="15"/>
      <c r="R454" s="106">
        <v>452</v>
      </c>
      <c r="S454" s="15"/>
      <c r="T454" s="15"/>
      <c r="U454" s="15"/>
    </row>
    <row r="455" spans="1:21">
      <c r="A455" s="15"/>
      <c r="B455" s="15"/>
      <c r="C455" s="15"/>
      <c r="D455" s="15"/>
      <c r="E455" s="15"/>
      <c r="F455" s="15"/>
      <c r="G455" s="15"/>
      <c r="H455" s="15"/>
      <c r="J455" s="14" t="s">
        <v>136</v>
      </c>
      <c r="K455" s="15">
        <v>2.59</v>
      </c>
      <c r="L455" s="15">
        <v>18.75</v>
      </c>
      <c r="M455" s="105">
        <f t="shared" si="134"/>
        <v>5.5934108192744771</v>
      </c>
      <c r="N455" s="15">
        <v>2.88</v>
      </c>
      <c r="O455" s="105">
        <f t="shared" si="133"/>
        <v>43.040678433314767</v>
      </c>
      <c r="P455" s="15">
        <v>1.75</v>
      </c>
      <c r="Q455" s="15"/>
      <c r="R455" s="106">
        <v>453</v>
      </c>
      <c r="S455" s="15"/>
      <c r="T455" s="15"/>
      <c r="U455" s="15"/>
    </row>
    <row r="456" spans="1:21">
      <c r="A456" s="15"/>
      <c r="B456" s="15"/>
      <c r="C456" s="15"/>
      <c r="D456" s="15"/>
      <c r="E456" s="15"/>
      <c r="F456" s="15"/>
      <c r="G456" s="15"/>
      <c r="H456" s="15"/>
      <c r="J456" s="14" t="s">
        <v>192</v>
      </c>
      <c r="K456" s="105">
        <f>K455+(K455*(RATE(($R$457-$R$455),0,K$455,-K$457)))</f>
        <v>2.3597669376446793</v>
      </c>
      <c r="L456" s="15">
        <v>18.75</v>
      </c>
      <c r="M456" s="105">
        <f t="shared" si="134"/>
        <v>5.4141204272093351</v>
      </c>
      <c r="N456" s="15">
        <v>2.89</v>
      </c>
      <c r="O456" s="105">
        <f t="shared" si="133"/>
        <v>43.753707438339752</v>
      </c>
      <c r="P456" s="15">
        <v>1.73</v>
      </c>
      <c r="Q456" s="15"/>
      <c r="R456" s="106">
        <v>454</v>
      </c>
      <c r="S456" s="15"/>
      <c r="T456" s="15"/>
      <c r="U456" s="15"/>
    </row>
    <row r="457" spans="1:21">
      <c r="A457" s="15"/>
      <c r="B457" s="15"/>
      <c r="C457" s="15"/>
      <c r="D457" s="15"/>
      <c r="E457" s="15"/>
      <c r="F457" s="15"/>
      <c r="G457" s="15"/>
      <c r="H457" s="15"/>
      <c r="J457" s="14" t="s">
        <v>193</v>
      </c>
      <c r="K457" s="15">
        <v>2.15</v>
      </c>
      <c r="L457" s="15">
        <v>19.43</v>
      </c>
      <c r="M457" s="105">
        <f>M456+(M456*(RATE(($R$459-$R$453),0,M$453,-M$459)))</f>
        <v>5.2405769837817049</v>
      </c>
      <c r="N457" s="15">
        <v>2.68</v>
      </c>
      <c r="O457" s="105">
        <f t="shared" si="133"/>
        <v>44.478548765579745</v>
      </c>
      <c r="P457" s="15">
        <v>1.72</v>
      </c>
      <c r="Q457" s="15"/>
      <c r="R457" s="106">
        <v>455</v>
      </c>
      <c r="S457" s="15"/>
      <c r="T457" s="15"/>
      <c r="U457" s="15"/>
    </row>
    <row r="458" spans="1:21">
      <c r="A458" s="15"/>
      <c r="B458" s="15"/>
      <c r="C458" s="15"/>
      <c r="D458" s="15"/>
      <c r="E458" s="15"/>
      <c r="F458" s="15"/>
      <c r="G458" s="15"/>
      <c r="H458" s="15"/>
      <c r="J458" s="14" t="s">
        <v>194</v>
      </c>
      <c r="K458" s="15">
        <v>2.31</v>
      </c>
      <c r="L458" s="15">
        <v>19.12</v>
      </c>
      <c r="M458" s="105">
        <f t="shared" si="134"/>
        <v>5.0725962771202093</v>
      </c>
      <c r="N458" s="15">
        <v>2.67</v>
      </c>
      <c r="O458" s="105">
        <f t="shared" si="133"/>
        <v>45.215398102664743</v>
      </c>
      <c r="P458" s="15">
        <v>1.7</v>
      </c>
      <c r="Q458" s="15"/>
      <c r="R458" s="106">
        <v>456</v>
      </c>
      <c r="S458" s="15"/>
      <c r="T458" s="15"/>
      <c r="U458" s="15"/>
    </row>
    <row r="459" spans="1:21">
      <c r="A459" s="15"/>
      <c r="B459" s="15"/>
      <c r="C459" s="15"/>
      <c r="D459" s="15"/>
      <c r="E459" s="15"/>
      <c r="F459" s="15"/>
      <c r="G459" s="15"/>
      <c r="H459" s="15"/>
      <c r="I459" s="4">
        <f t="shared" ref="I459" si="135">I447+1</f>
        <v>1901</v>
      </c>
      <c r="J459" s="14" t="s">
        <v>96</v>
      </c>
      <c r="K459" s="15">
        <v>2.1800000000000002</v>
      </c>
      <c r="L459" s="15">
        <v>19</v>
      </c>
      <c r="M459" s="15">
        <v>4.91</v>
      </c>
      <c r="N459" s="15">
        <v>2.79</v>
      </c>
      <c r="O459" s="105">
        <f t="shared" si="133"/>
        <v>45.964454379063888</v>
      </c>
      <c r="P459" s="15">
        <v>1.71</v>
      </c>
      <c r="Q459" s="15"/>
      <c r="R459" s="106">
        <v>457</v>
      </c>
      <c r="S459" s="15"/>
      <c r="T459" s="15"/>
      <c r="U459" s="15"/>
    </row>
    <row r="460" spans="1:21">
      <c r="A460" s="15"/>
      <c r="B460" s="15"/>
      <c r="C460" s="15"/>
      <c r="D460" s="15"/>
      <c r="E460" s="15"/>
      <c r="F460" s="15"/>
      <c r="G460" s="15"/>
      <c r="H460" s="15"/>
      <c r="J460" s="14" t="s">
        <v>97</v>
      </c>
      <c r="K460" s="15">
        <v>2.14</v>
      </c>
      <c r="L460" s="15">
        <v>20</v>
      </c>
      <c r="M460" s="15">
        <v>4.6900000000000004</v>
      </c>
      <c r="N460" s="15">
        <v>2.74</v>
      </c>
      <c r="O460" s="105">
        <f t="shared" si="133"/>
        <v>46.725919819791052</v>
      </c>
      <c r="P460" s="15">
        <v>1.7</v>
      </c>
      <c r="Q460" s="15"/>
      <c r="R460" s="106">
        <v>458</v>
      </c>
      <c r="S460" s="15"/>
      <c r="T460" s="15"/>
      <c r="U460" s="15"/>
    </row>
    <row r="461" spans="1:21">
      <c r="A461" s="15"/>
      <c r="B461" s="15"/>
      <c r="C461" s="15"/>
      <c r="D461" s="15"/>
      <c r="E461" s="15"/>
      <c r="F461" s="15"/>
      <c r="G461" s="15"/>
      <c r="H461" s="15"/>
      <c r="J461" s="14" t="s">
        <v>130</v>
      </c>
      <c r="K461" s="15">
        <v>2.08</v>
      </c>
      <c r="L461" s="15">
        <v>19.190000000000001</v>
      </c>
      <c r="M461" s="15">
        <v>4.78</v>
      </c>
      <c r="N461" s="15">
        <v>2.77</v>
      </c>
      <c r="O461" s="15">
        <v>47.5</v>
      </c>
      <c r="P461" s="105">
        <f>P460+(P460*(RATE(($R$463-$R$460),0,P$460,-P$463)))</f>
        <v>1.6341487899072662</v>
      </c>
      <c r="Q461" s="15"/>
      <c r="R461" s="106">
        <v>459</v>
      </c>
      <c r="S461" s="15"/>
      <c r="T461" s="15"/>
      <c r="U461" s="15"/>
    </row>
    <row r="462" spans="1:21">
      <c r="A462" s="15"/>
      <c r="B462" s="15"/>
      <c r="C462" s="15"/>
      <c r="D462" s="15"/>
      <c r="E462" s="15"/>
      <c r="F462" s="15"/>
      <c r="G462" s="15"/>
      <c r="H462" s="15"/>
      <c r="J462" s="14" t="s">
        <v>131</v>
      </c>
      <c r="K462" s="15">
        <v>2.0699999999999998</v>
      </c>
      <c r="L462" s="15">
        <v>18.38</v>
      </c>
      <c r="M462" s="15">
        <v>5.09</v>
      </c>
      <c r="N462" s="15">
        <v>2.77</v>
      </c>
      <c r="O462" s="15">
        <v>42</v>
      </c>
      <c r="P462" s="105">
        <f>P461+(P461*(RATE(($R$463-$R$460),0,P$460,-P$463)))</f>
        <v>1.5708483926796368</v>
      </c>
      <c r="Q462" s="15"/>
      <c r="R462" s="106">
        <v>460</v>
      </c>
      <c r="S462" s="15"/>
      <c r="T462" s="15"/>
      <c r="U462" s="15"/>
    </row>
    <row r="463" spans="1:21">
      <c r="A463" s="15"/>
      <c r="B463" s="15"/>
      <c r="C463" s="15"/>
      <c r="D463" s="15"/>
      <c r="E463" s="15"/>
      <c r="F463" s="15"/>
      <c r="G463" s="15"/>
      <c r="H463" s="15"/>
      <c r="J463" s="14" t="s">
        <v>132</v>
      </c>
      <c r="K463" s="15">
        <v>2.02</v>
      </c>
      <c r="L463" s="15">
        <v>18.07</v>
      </c>
      <c r="M463" s="15">
        <v>5.94</v>
      </c>
      <c r="N463" s="15">
        <v>2.8</v>
      </c>
      <c r="O463" s="15">
        <v>42</v>
      </c>
      <c r="P463" s="15">
        <v>1.51</v>
      </c>
      <c r="Q463" s="15"/>
      <c r="R463" s="106">
        <v>461</v>
      </c>
      <c r="S463" s="15"/>
      <c r="T463" s="15"/>
      <c r="U463" s="15"/>
    </row>
    <row r="464" spans="1:21">
      <c r="A464" s="15"/>
      <c r="B464" s="15"/>
      <c r="C464" s="15"/>
      <c r="D464" s="15"/>
      <c r="E464" s="15"/>
      <c r="F464" s="15"/>
      <c r="G464" s="15"/>
      <c r="H464" s="15"/>
      <c r="J464" s="14" t="s">
        <v>133</v>
      </c>
      <c r="K464" s="15">
        <v>1.87</v>
      </c>
      <c r="L464" s="15">
        <v>18.600000000000001</v>
      </c>
      <c r="M464" s="15">
        <v>5.45</v>
      </c>
      <c r="N464" s="15">
        <v>2.76</v>
      </c>
      <c r="O464" s="15">
        <v>42</v>
      </c>
      <c r="P464" s="15">
        <v>1.48</v>
      </c>
      <c r="Q464" s="15"/>
      <c r="R464" s="106">
        <v>462</v>
      </c>
      <c r="S464" s="15"/>
      <c r="T464" s="15"/>
      <c r="U464" s="15"/>
    </row>
    <row r="465" spans="1:21">
      <c r="A465" s="15"/>
      <c r="B465" s="15"/>
      <c r="C465" s="15"/>
      <c r="D465" s="15"/>
      <c r="E465" s="15"/>
      <c r="F465" s="15"/>
      <c r="G465" s="15"/>
      <c r="H465" s="15"/>
      <c r="J465" s="14" t="s">
        <v>134</v>
      </c>
      <c r="K465" s="15">
        <v>1.9</v>
      </c>
      <c r="L465" s="15">
        <v>17.62</v>
      </c>
      <c r="M465" s="15">
        <v>6.12</v>
      </c>
      <c r="N465" s="15">
        <v>2.78</v>
      </c>
      <c r="O465" s="15">
        <v>50</v>
      </c>
      <c r="P465" s="15">
        <v>1.72</v>
      </c>
      <c r="Q465" s="15"/>
      <c r="R465" s="106">
        <v>463</v>
      </c>
      <c r="S465" s="15"/>
      <c r="T465" s="15"/>
      <c r="U465" s="15"/>
    </row>
    <row r="466" spans="1:21">
      <c r="A466" s="15"/>
      <c r="B466" s="15"/>
      <c r="C466" s="15"/>
      <c r="D466" s="15"/>
      <c r="E466" s="15"/>
      <c r="F466" s="15"/>
      <c r="G466" s="15"/>
      <c r="H466" s="15"/>
      <c r="J466" s="14" t="s">
        <v>135</v>
      </c>
      <c r="K466" s="15">
        <v>1.93</v>
      </c>
      <c r="L466" s="15">
        <v>17.75</v>
      </c>
      <c r="M466" s="105">
        <f t="shared" ref="M466:M469" si="136">M465+(M465*(RATE(($R$470-$R$465),0,M$465,-M$470)))</f>
        <v>5.9374270476241033</v>
      </c>
      <c r="N466" s="15">
        <v>2.98</v>
      </c>
      <c r="O466" s="15">
        <v>50</v>
      </c>
      <c r="P466" s="15">
        <v>2.1</v>
      </c>
      <c r="Q466" s="15"/>
      <c r="R466" s="106">
        <v>464</v>
      </c>
      <c r="S466" s="15"/>
      <c r="T466" s="15"/>
      <c r="U466" s="15"/>
    </row>
    <row r="467" spans="1:21">
      <c r="A467" s="15"/>
      <c r="B467" s="15"/>
      <c r="C467" s="15"/>
      <c r="D467" s="15"/>
      <c r="E467" s="15"/>
      <c r="F467" s="15"/>
      <c r="G467" s="15"/>
      <c r="H467" s="15"/>
      <c r="J467" s="14" t="s">
        <v>136</v>
      </c>
      <c r="K467" s="15">
        <v>2.1800000000000002</v>
      </c>
      <c r="L467" s="105">
        <f>L466+(L466*(RATE(($R$469-$R$466),0,L$466,-L$469)))</f>
        <v>18.638151904634984</v>
      </c>
      <c r="M467" s="105">
        <f t="shared" si="136"/>
        <v>5.7603006447480842</v>
      </c>
      <c r="N467" s="105">
        <f>N466+(N466*(RATE(($R$472-$R$466),0,N$466,-N$472)))</f>
        <v>2.9630954028201995</v>
      </c>
      <c r="O467" s="15">
        <v>50</v>
      </c>
      <c r="P467" s="15">
        <v>2.48</v>
      </c>
      <c r="Q467" s="15"/>
      <c r="R467" s="106">
        <v>465</v>
      </c>
      <c r="S467" s="15"/>
      <c r="T467" s="15"/>
      <c r="U467" s="15"/>
    </row>
    <row r="468" spans="1:21">
      <c r="A468" s="15"/>
      <c r="B468" s="15"/>
      <c r="C468" s="15"/>
      <c r="D468" s="15"/>
      <c r="E468" s="15"/>
      <c r="F468" s="15"/>
      <c r="G468" s="15"/>
      <c r="H468" s="15"/>
      <c r="J468" s="14" t="s">
        <v>192</v>
      </c>
      <c r="K468" s="15">
        <v>1.97</v>
      </c>
      <c r="L468" s="105">
        <f>L467+(L467*(RATE(($R$469-$R$466),0,L$466,-L$469)))</f>
        <v>19.570744023675982</v>
      </c>
      <c r="M468" s="105">
        <f>M467+(M467*(RATE(($R$470-$R$465),0,M$465,-M$470)))</f>
        <v>5.5884583089172937</v>
      </c>
      <c r="N468" s="105">
        <f>N467+(N467*(RATE(($R$472-$R$466),0,N$466,-N$472)))</f>
        <v>2.9462867000718793</v>
      </c>
      <c r="O468" s="15">
        <v>50</v>
      </c>
      <c r="P468" s="15">
        <v>2.13</v>
      </c>
      <c r="Q468" s="15"/>
      <c r="R468" s="106">
        <v>466</v>
      </c>
      <c r="S468" s="15"/>
      <c r="T468" s="15"/>
      <c r="U468" s="15"/>
    </row>
    <row r="469" spans="1:21">
      <c r="A469" s="15"/>
      <c r="B469" s="15"/>
      <c r="C469" s="15"/>
      <c r="D469" s="15"/>
      <c r="E469" s="15"/>
      <c r="F469" s="15"/>
      <c r="G469" s="15"/>
      <c r="H469" s="15"/>
      <c r="J469" s="14" t="s">
        <v>193</v>
      </c>
      <c r="K469" s="15">
        <v>2.0499999999999998</v>
      </c>
      <c r="L469" s="15">
        <v>20.55</v>
      </c>
      <c r="M469" s="105">
        <f t="shared" si="136"/>
        <v>5.4217424048832026</v>
      </c>
      <c r="N469" s="105">
        <f t="shared" ref="N469:N471" si="137">N468+(N468*(RATE(($R$472-$R$466),0,N$466,-N$472)))</f>
        <v>2.9295733477762691</v>
      </c>
      <c r="O469" s="15">
        <v>50</v>
      </c>
      <c r="P469" s="15">
        <v>2.42</v>
      </c>
      <c r="Q469" s="15"/>
      <c r="R469" s="106">
        <v>467</v>
      </c>
      <c r="S469" s="15"/>
      <c r="T469" s="15"/>
      <c r="U469" s="15"/>
    </row>
    <row r="470" spans="1:21">
      <c r="A470" s="15"/>
      <c r="B470" s="15"/>
      <c r="C470" s="15"/>
      <c r="D470" s="15"/>
      <c r="E470" s="15"/>
      <c r="F470" s="15"/>
      <c r="G470" s="15"/>
      <c r="H470" s="15"/>
      <c r="J470" s="14" t="s">
        <v>194</v>
      </c>
      <c r="K470" s="15">
        <v>2.11</v>
      </c>
      <c r="L470" s="15">
        <v>19.87</v>
      </c>
      <c r="M470" s="15">
        <v>5.26</v>
      </c>
      <c r="N470" s="105">
        <f t="shared" si="137"/>
        <v>2.9129548050404175</v>
      </c>
      <c r="O470" s="15">
        <v>50</v>
      </c>
      <c r="P470" s="105">
        <f t="shared" ref="P470:P473" si="138">P469+(P469*(RATE(($R$474-$R$469),0,P$469,-P$474)))</f>
        <v>2.3153286125965473</v>
      </c>
      <c r="Q470" s="15"/>
      <c r="R470" s="106">
        <v>468</v>
      </c>
      <c r="S470" s="15"/>
      <c r="T470" s="15"/>
      <c r="U470" s="15"/>
    </row>
    <row r="471" spans="1:21">
      <c r="A471" s="15"/>
      <c r="B471" s="15"/>
      <c r="C471" s="15"/>
      <c r="D471" s="15"/>
      <c r="E471" s="15"/>
      <c r="F471" s="15"/>
      <c r="G471" s="15"/>
      <c r="H471" s="15"/>
      <c r="I471" s="4">
        <f t="shared" ref="I471" si="139">I459+1</f>
        <v>1902</v>
      </c>
      <c r="J471" s="14" t="s">
        <v>96</v>
      </c>
      <c r="K471" s="15">
        <v>2.34</v>
      </c>
      <c r="L471" s="15">
        <v>19.27</v>
      </c>
      <c r="M471" s="15">
        <v>5.41</v>
      </c>
      <c r="N471" s="105">
        <f t="shared" si="137"/>
        <v>2.8964305340396885</v>
      </c>
      <c r="O471" s="15">
        <v>49.5</v>
      </c>
      <c r="P471" s="105">
        <f t="shared" si="138"/>
        <v>2.2151845389703522</v>
      </c>
      <c r="Q471" s="15"/>
      <c r="R471" s="106">
        <v>469</v>
      </c>
      <c r="S471" s="15"/>
      <c r="T471" s="15"/>
      <c r="U471" s="15"/>
    </row>
    <row r="472" spans="1:21">
      <c r="A472" s="15"/>
      <c r="B472" s="15"/>
      <c r="C472" s="15"/>
      <c r="D472" s="15"/>
      <c r="E472" s="15"/>
      <c r="F472" s="15"/>
      <c r="G472" s="15"/>
      <c r="H472" s="15"/>
      <c r="J472" s="14" t="s">
        <v>97</v>
      </c>
      <c r="K472" s="15">
        <v>2.25</v>
      </c>
      <c r="L472" s="15">
        <v>19.87</v>
      </c>
      <c r="M472" s="15">
        <v>5.83</v>
      </c>
      <c r="N472" s="15">
        <v>2.88</v>
      </c>
      <c r="O472" s="15">
        <v>49.5</v>
      </c>
      <c r="P472" s="105">
        <f>P471+(P471*(RATE(($R$474-$R$469),0,P$469,-P$474)))</f>
        <v>2.1193719608510526</v>
      </c>
      <c r="Q472" s="15"/>
      <c r="R472" s="106">
        <v>470</v>
      </c>
      <c r="S472" s="15"/>
      <c r="T472" s="15"/>
      <c r="U472" s="15"/>
    </row>
    <row r="473" spans="1:21">
      <c r="A473" s="15"/>
      <c r="B473" s="15"/>
      <c r="C473" s="15"/>
      <c r="D473" s="15"/>
      <c r="E473" s="15"/>
      <c r="F473" s="15"/>
      <c r="G473" s="15"/>
      <c r="H473" s="15"/>
      <c r="J473" s="14" t="s">
        <v>130</v>
      </c>
      <c r="K473" s="15">
        <v>2.19</v>
      </c>
      <c r="L473" s="15">
        <v>19.559999999999999</v>
      </c>
      <c r="M473" s="15">
        <v>5.8</v>
      </c>
      <c r="N473" s="15">
        <v>2.91</v>
      </c>
      <c r="O473" s="15">
        <v>50</v>
      </c>
      <c r="P473" s="105">
        <f t="shared" si="138"/>
        <v>2.027703529625327</v>
      </c>
      <c r="Q473" s="15"/>
      <c r="R473" s="106">
        <v>471</v>
      </c>
      <c r="S473" s="15"/>
      <c r="T473" s="15"/>
      <c r="U473" s="15"/>
    </row>
    <row r="474" spans="1:21">
      <c r="A474" s="15"/>
      <c r="B474" s="15"/>
      <c r="C474" s="15"/>
      <c r="D474" s="15"/>
      <c r="E474" s="15"/>
      <c r="F474" s="15"/>
      <c r="G474" s="15"/>
      <c r="H474" s="15"/>
      <c r="J474" s="14" t="s">
        <v>131</v>
      </c>
      <c r="K474" s="15">
        <v>2.1800000000000002</v>
      </c>
      <c r="L474" s="15">
        <v>18.87</v>
      </c>
      <c r="M474" s="15">
        <v>5.79</v>
      </c>
      <c r="N474" s="15">
        <v>2.85</v>
      </c>
      <c r="O474" s="15">
        <v>42.5</v>
      </c>
      <c r="P474" s="15">
        <v>1.94</v>
      </c>
      <c r="Q474" s="15"/>
      <c r="R474" s="106">
        <v>472</v>
      </c>
      <c r="S474" s="15"/>
      <c r="T474" s="15"/>
      <c r="U474" s="15"/>
    </row>
    <row r="475" spans="1:21">
      <c r="A475" s="15"/>
      <c r="B475" s="15"/>
      <c r="C475" s="15"/>
      <c r="D475" s="15"/>
      <c r="E475" s="15"/>
      <c r="F475" s="15"/>
      <c r="G475" s="15"/>
      <c r="H475" s="15"/>
      <c r="J475" s="14" t="s">
        <v>132</v>
      </c>
      <c r="K475" s="15">
        <v>2.2200000000000002</v>
      </c>
      <c r="L475" s="15">
        <v>18.68</v>
      </c>
      <c r="M475" s="15">
        <v>6.05</v>
      </c>
      <c r="N475" s="15">
        <v>2.94</v>
      </c>
      <c r="O475" s="15">
        <v>34.64</v>
      </c>
      <c r="P475" s="15">
        <v>1.94</v>
      </c>
      <c r="Q475" s="15"/>
      <c r="R475" s="106">
        <v>473</v>
      </c>
      <c r="S475" s="15"/>
      <c r="T475" s="15"/>
      <c r="U475" s="15"/>
    </row>
    <row r="476" spans="1:21">
      <c r="A476" s="15"/>
      <c r="B476" s="15"/>
      <c r="C476" s="15"/>
      <c r="D476" s="15"/>
      <c r="E476" s="15"/>
      <c r="F476" s="15"/>
      <c r="G476" s="15"/>
      <c r="H476" s="15"/>
      <c r="J476" s="14" t="s">
        <v>133</v>
      </c>
      <c r="K476" s="15">
        <v>2.39</v>
      </c>
      <c r="L476" s="15">
        <v>18.05</v>
      </c>
      <c r="M476" s="15">
        <v>5.97</v>
      </c>
      <c r="N476" s="15">
        <v>3</v>
      </c>
      <c r="O476" s="15">
        <v>38.799999999999997</v>
      </c>
      <c r="P476" s="15">
        <v>1.8</v>
      </c>
      <c r="Q476" s="15"/>
      <c r="R476" s="106">
        <v>474</v>
      </c>
      <c r="S476" s="15"/>
      <c r="T476" s="15"/>
      <c r="U476" s="15"/>
    </row>
    <row r="477" spans="1:21">
      <c r="A477" s="15"/>
      <c r="B477" s="15"/>
      <c r="C477" s="15"/>
      <c r="D477" s="15"/>
      <c r="E477" s="15"/>
      <c r="F477" s="15"/>
      <c r="G477" s="15"/>
      <c r="H477" s="15"/>
      <c r="J477" s="14" t="s">
        <v>134</v>
      </c>
      <c r="K477" s="15">
        <v>2.5</v>
      </c>
      <c r="L477" s="15">
        <v>17.5</v>
      </c>
      <c r="M477" s="15">
        <v>5.72</v>
      </c>
      <c r="N477" s="15">
        <v>3</v>
      </c>
      <c r="O477" s="15">
        <v>39.049999999999997</v>
      </c>
      <c r="P477" s="15">
        <v>1.95</v>
      </c>
      <c r="Q477" s="15"/>
      <c r="R477" s="106">
        <v>475</v>
      </c>
      <c r="S477" s="15"/>
      <c r="T477" s="15"/>
      <c r="U477" s="15"/>
    </row>
    <row r="478" spans="1:21">
      <c r="A478" s="15"/>
      <c r="B478" s="15"/>
      <c r="C478" s="15"/>
      <c r="D478" s="15"/>
      <c r="E478" s="15"/>
      <c r="F478" s="15"/>
      <c r="G478" s="15"/>
      <c r="H478" s="15"/>
      <c r="J478" s="14" t="s">
        <v>135</v>
      </c>
      <c r="K478" s="15">
        <v>2.5099999999999998</v>
      </c>
      <c r="L478" s="15">
        <v>17</v>
      </c>
      <c r="M478" s="15">
        <v>5.72</v>
      </c>
      <c r="N478" s="15">
        <v>2.98</v>
      </c>
      <c r="O478" s="15">
        <v>38.340000000000003</v>
      </c>
      <c r="P478" s="15">
        <v>1.94</v>
      </c>
      <c r="Q478" s="15"/>
      <c r="R478" s="106">
        <v>476</v>
      </c>
      <c r="S478" s="15"/>
      <c r="T478" s="15"/>
      <c r="U478" s="15"/>
    </row>
    <row r="479" spans="1:21">
      <c r="A479" s="15"/>
      <c r="B479" s="15"/>
      <c r="C479" s="15"/>
      <c r="D479" s="15"/>
      <c r="E479" s="15"/>
      <c r="F479" s="15"/>
      <c r="G479" s="15"/>
      <c r="H479" s="15"/>
      <c r="J479" s="14" t="s">
        <v>136</v>
      </c>
      <c r="K479" s="15">
        <v>2.52</v>
      </c>
      <c r="L479" s="15">
        <v>17.190000000000001</v>
      </c>
      <c r="M479" s="105">
        <f>M478+(M478*(RATE(($R$480-$R$478),0,M$478,-M$480)))</f>
        <v>5.079094407472958</v>
      </c>
      <c r="N479" s="15">
        <v>3.02</v>
      </c>
      <c r="O479" s="15">
        <v>39.31</v>
      </c>
      <c r="P479" s="15">
        <v>2.09</v>
      </c>
      <c r="Q479" s="15"/>
      <c r="R479" s="106">
        <v>477</v>
      </c>
      <c r="S479" s="15"/>
      <c r="T479" s="15"/>
      <c r="U479" s="15"/>
    </row>
    <row r="480" spans="1:21">
      <c r="A480" s="15"/>
      <c r="B480" s="15"/>
      <c r="C480" s="15"/>
      <c r="D480" s="15"/>
      <c r="E480" s="15"/>
      <c r="F480" s="15"/>
      <c r="G480" s="15"/>
      <c r="H480" s="15"/>
      <c r="J480" s="14" t="s">
        <v>192</v>
      </c>
      <c r="K480" s="15">
        <v>2.97</v>
      </c>
      <c r="L480" s="15">
        <v>17.350000000000001</v>
      </c>
      <c r="M480" s="15">
        <v>4.51</v>
      </c>
      <c r="N480" s="15">
        <v>3.11</v>
      </c>
      <c r="O480" s="15">
        <v>42.11</v>
      </c>
      <c r="P480" s="15">
        <v>2.12</v>
      </c>
      <c r="Q480" s="15"/>
      <c r="R480" s="106">
        <v>478</v>
      </c>
      <c r="S480" s="15"/>
      <c r="T480" s="15"/>
      <c r="U480" s="15"/>
    </row>
    <row r="481" spans="1:21">
      <c r="A481" s="15"/>
      <c r="B481" s="15"/>
      <c r="C481" s="15"/>
      <c r="D481" s="15"/>
      <c r="E481" s="15"/>
      <c r="F481" s="15"/>
      <c r="G481" s="15"/>
      <c r="H481" s="15"/>
      <c r="J481" s="14" t="s">
        <v>193</v>
      </c>
      <c r="K481" s="15">
        <v>3.19</v>
      </c>
      <c r="L481" s="15">
        <v>17.5</v>
      </c>
      <c r="M481" s="15">
        <v>4.26</v>
      </c>
      <c r="N481" s="15">
        <v>2.88</v>
      </c>
      <c r="O481" s="15">
        <v>40.15</v>
      </c>
      <c r="P481" s="15">
        <v>2.17</v>
      </c>
      <c r="Q481" s="15"/>
      <c r="R481" s="106">
        <v>479</v>
      </c>
      <c r="S481" s="15"/>
      <c r="T481" s="15"/>
      <c r="U481" s="15"/>
    </row>
    <row r="482" spans="1:21">
      <c r="A482" s="15"/>
      <c r="B482" s="15"/>
      <c r="C482" s="15"/>
      <c r="D482" s="15"/>
      <c r="E482" s="15"/>
      <c r="F482" s="15"/>
      <c r="G482" s="15"/>
      <c r="H482" s="15"/>
      <c r="J482" s="14" t="s">
        <v>194</v>
      </c>
      <c r="K482" s="15">
        <v>3.19</v>
      </c>
      <c r="L482" s="15">
        <v>18.37</v>
      </c>
      <c r="M482" s="15">
        <v>4.67</v>
      </c>
      <c r="N482" s="15">
        <v>2.99</v>
      </c>
      <c r="O482" s="15">
        <v>40.700000000000003</v>
      </c>
      <c r="P482" s="15">
        <v>2.0699999999999998</v>
      </c>
      <c r="Q482" s="15"/>
      <c r="R482" s="106">
        <v>480</v>
      </c>
      <c r="S482" s="15"/>
      <c r="T482" s="15"/>
      <c r="U482" s="15"/>
    </row>
    <row r="483" spans="1:21">
      <c r="A483" s="15"/>
      <c r="B483" s="15"/>
      <c r="C483" s="15"/>
      <c r="D483" s="15"/>
      <c r="E483" s="15"/>
      <c r="F483" s="15"/>
      <c r="G483" s="15"/>
      <c r="H483" s="15"/>
      <c r="I483" s="4">
        <f t="shared" ref="I483" si="140">I471+1</f>
        <v>1903</v>
      </c>
      <c r="J483" s="14" t="s">
        <v>96</v>
      </c>
      <c r="K483" s="15">
        <v>3.23</v>
      </c>
      <c r="L483" s="15">
        <v>20.75</v>
      </c>
      <c r="M483" s="15">
        <v>4.4000000000000004</v>
      </c>
      <c r="N483" s="15">
        <v>2.72</v>
      </c>
      <c r="O483" s="15">
        <v>40.479999999999997</v>
      </c>
      <c r="P483" s="15">
        <v>1.95</v>
      </c>
      <c r="Q483" s="15"/>
      <c r="R483" s="106">
        <v>481</v>
      </c>
      <c r="S483" s="15"/>
      <c r="T483" s="15"/>
      <c r="U483" s="15"/>
    </row>
    <row r="484" spans="1:21">
      <c r="A484" s="15"/>
      <c r="B484" s="15"/>
      <c r="C484" s="15"/>
      <c r="D484" s="15"/>
      <c r="E484" s="15"/>
      <c r="F484" s="15"/>
      <c r="G484" s="15"/>
      <c r="H484" s="15"/>
      <c r="J484" s="14" t="s">
        <v>97</v>
      </c>
      <c r="K484" s="15">
        <v>3.01</v>
      </c>
      <c r="L484" s="15">
        <v>20.62</v>
      </c>
      <c r="M484" s="15">
        <v>4.43</v>
      </c>
      <c r="N484" s="15">
        <v>2.67</v>
      </c>
      <c r="O484" s="15">
        <v>46.2</v>
      </c>
      <c r="P484" s="15">
        <v>1.97</v>
      </c>
      <c r="Q484" s="15"/>
      <c r="R484" s="106">
        <v>482</v>
      </c>
      <c r="S484" s="15"/>
      <c r="T484" s="15"/>
      <c r="U484" s="15"/>
    </row>
    <row r="485" spans="1:21">
      <c r="A485" s="15"/>
      <c r="B485" s="15"/>
      <c r="C485" s="15"/>
      <c r="D485" s="15"/>
      <c r="E485" s="15"/>
      <c r="F485" s="15"/>
      <c r="G485" s="15"/>
      <c r="H485" s="15"/>
      <c r="J485" s="14" t="s">
        <v>130</v>
      </c>
      <c r="K485" s="15">
        <v>3.03</v>
      </c>
      <c r="L485" s="15">
        <v>20.25</v>
      </c>
      <c r="M485" s="15">
        <v>4.22</v>
      </c>
      <c r="N485" s="15">
        <v>2.6</v>
      </c>
      <c r="O485" s="15">
        <v>46.2</v>
      </c>
      <c r="P485" s="15">
        <v>1.94</v>
      </c>
      <c r="Q485" s="15"/>
      <c r="R485" s="106">
        <v>483</v>
      </c>
      <c r="S485" s="15"/>
      <c r="T485" s="15"/>
      <c r="U485" s="15"/>
    </row>
    <row r="486" spans="1:21">
      <c r="A486" s="15"/>
      <c r="B486" s="15"/>
      <c r="C486" s="15"/>
      <c r="D486" s="15"/>
      <c r="E486" s="15"/>
      <c r="F486" s="15"/>
      <c r="G486" s="15"/>
      <c r="H486" s="15"/>
      <c r="J486" s="14" t="s">
        <v>131</v>
      </c>
      <c r="K486" s="15">
        <v>3.05</v>
      </c>
      <c r="L486" s="15">
        <v>19.5</v>
      </c>
      <c r="M486" s="15">
        <v>4.13</v>
      </c>
      <c r="N486" s="15">
        <v>2.64</v>
      </c>
      <c r="O486" s="15">
        <v>46.2</v>
      </c>
      <c r="P486" s="15">
        <v>1.84</v>
      </c>
      <c r="Q486" s="15"/>
      <c r="R486" s="106">
        <v>484</v>
      </c>
      <c r="S486" s="15"/>
      <c r="T486" s="15"/>
      <c r="U486" s="15"/>
    </row>
    <row r="487" spans="1:21">
      <c r="A487" s="15"/>
      <c r="B487" s="15"/>
      <c r="C487" s="15"/>
      <c r="D487" s="15"/>
      <c r="E487" s="15"/>
      <c r="F487" s="15"/>
      <c r="G487" s="15"/>
      <c r="H487" s="15"/>
      <c r="J487" s="14" t="s">
        <v>132</v>
      </c>
      <c r="K487" s="105">
        <f t="shared" ref="K487:K491" si="141">K486+(K486*(RATE(($R$492-$R$486),0,K$486,-K$492)))</f>
        <v>3.0903110118480126</v>
      </c>
      <c r="L487" s="15">
        <v>19.75</v>
      </c>
      <c r="M487" s="15">
        <v>4.03</v>
      </c>
      <c r="N487" s="15">
        <v>2.65</v>
      </c>
      <c r="O487" s="15">
        <v>41.8</v>
      </c>
      <c r="P487" s="15">
        <v>1.74</v>
      </c>
      <c r="Q487" s="15"/>
      <c r="R487" s="106">
        <v>485</v>
      </c>
      <c r="S487" s="15"/>
      <c r="T487" s="15"/>
      <c r="U487" s="15"/>
    </row>
    <row r="488" spans="1:21">
      <c r="A488" s="15"/>
      <c r="B488" s="15"/>
      <c r="C488" s="15"/>
      <c r="D488" s="15"/>
      <c r="E488" s="15"/>
      <c r="F488" s="15"/>
      <c r="G488" s="15"/>
      <c r="H488" s="15"/>
      <c r="J488" s="14" t="s">
        <v>133</v>
      </c>
      <c r="K488" s="105">
        <f t="shared" si="141"/>
        <v>3.131154803261996</v>
      </c>
      <c r="L488" s="15">
        <v>19.62</v>
      </c>
      <c r="M488" s="15">
        <v>3.86</v>
      </c>
      <c r="N488" s="15">
        <v>2.69</v>
      </c>
      <c r="O488" s="15">
        <v>41.25</v>
      </c>
      <c r="P488" s="15">
        <v>2.16</v>
      </c>
      <c r="Q488" s="15"/>
      <c r="R488" s="106">
        <v>486</v>
      </c>
      <c r="S488" s="15"/>
      <c r="T488" s="15"/>
      <c r="U488" s="15"/>
    </row>
    <row r="489" spans="1:21">
      <c r="A489" s="15"/>
      <c r="B489" s="15"/>
      <c r="C489" s="15"/>
      <c r="D489" s="15"/>
      <c r="E489" s="15"/>
      <c r="F489" s="15"/>
      <c r="G489" s="15"/>
      <c r="H489" s="15"/>
      <c r="J489" s="14" t="s">
        <v>134</v>
      </c>
      <c r="K489" s="105">
        <f t="shared" si="141"/>
        <v>3.1725384158430638</v>
      </c>
      <c r="L489" s="15">
        <v>18.82</v>
      </c>
      <c r="M489" s="15">
        <v>3.71</v>
      </c>
      <c r="N489" s="15">
        <v>2.73</v>
      </c>
      <c r="O489" s="15">
        <v>40.700000000000003</v>
      </c>
      <c r="P489" s="15">
        <v>1.84</v>
      </c>
      <c r="Q489" s="15"/>
      <c r="R489" s="106">
        <v>487</v>
      </c>
      <c r="S489" s="15"/>
      <c r="T489" s="15"/>
      <c r="U489" s="15"/>
    </row>
    <row r="490" spans="1:21">
      <c r="A490" s="15"/>
      <c r="B490" s="15"/>
      <c r="C490" s="15"/>
      <c r="D490" s="15"/>
      <c r="E490" s="15"/>
      <c r="F490" s="15"/>
      <c r="G490" s="15"/>
      <c r="H490" s="15"/>
      <c r="J490" s="14" t="s">
        <v>135</v>
      </c>
      <c r="K490" s="105">
        <f>K489+(K489*(RATE(($R$492-$R$486),0,K$486,-K$492)))</f>
        <v>3.2144689842592364</v>
      </c>
      <c r="L490" s="15">
        <v>18.5</v>
      </c>
      <c r="M490" s="15">
        <v>3.72</v>
      </c>
      <c r="N490" s="15">
        <v>2.92</v>
      </c>
      <c r="O490" s="15">
        <v>41.8</v>
      </c>
      <c r="P490" s="15">
        <v>1.85</v>
      </c>
      <c r="Q490" s="15"/>
      <c r="R490" s="106">
        <v>488</v>
      </c>
      <c r="S490" s="15"/>
      <c r="T490" s="15"/>
      <c r="U490" s="15"/>
    </row>
    <row r="491" spans="1:21">
      <c r="A491" s="15"/>
      <c r="B491" s="15"/>
      <c r="C491" s="15"/>
      <c r="D491" s="15"/>
      <c r="E491" s="15"/>
      <c r="F491" s="15"/>
      <c r="G491" s="15"/>
      <c r="H491" s="15"/>
      <c r="J491" s="14" t="s">
        <v>136</v>
      </c>
      <c r="K491" s="105">
        <f t="shared" si="141"/>
        <v>3.2569537374754804</v>
      </c>
      <c r="L491" s="15">
        <v>18.07</v>
      </c>
      <c r="M491" s="15">
        <v>3.65</v>
      </c>
      <c r="N491" s="15">
        <v>2.98</v>
      </c>
      <c r="O491" s="15">
        <v>41.8</v>
      </c>
      <c r="P491" s="15">
        <v>1.66</v>
      </c>
      <c r="Q491" s="15"/>
      <c r="R491" s="106">
        <v>489</v>
      </c>
      <c r="S491" s="15"/>
      <c r="T491" s="15"/>
      <c r="U491" s="15"/>
    </row>
    <row r="492" spans="1:21">
      <c r="A492" s="15"/>
      <c r="B492" s="15"/>
      <c r="C492" s="15"/>
      <c r="D492" s="15"/>
      <c r="E492" s="15"/>
      <c r="F492" s="15"/>
      <c r="G492" s="15"/>
      <c r="H492" s="15"/>
      <c r="J492" s="14" t="s">
        <v>192</v>
      </c>
      <c r="K492" s="15">
        <v>3.3</v>
      </c>
      <c r="L492" s="15">
        <v>18</v>
      </c>
      <c r="M492" s="15">
        <v>3.5</v>
      </c>
      <c r="N492" s="15">
        <v>2.88</v>
      </c>
      <c r="O492" s="15">
        <v>41.8</v>
      </c>
      <c r="P492" s="15">
        <v>1.58</v>
      </c>
      <c r="Q492" s="15"/>
      <c r="R492" s="106">
        <v>490</v>
      </c>
      <c r="S492" s="15"/>
      <c r="T492" s="15"/>
      <c r="U492" s="15"/>
    </row>
    <row r="493" spans="1:21">
      <c r="A493" s="15"/>
      <c r="B493" s="15"/>
      <c r="C493" s="15"/>
      <c r="D493" s="15"/>
      <c r="E493" s="15"/>
      <c r="F493" s="15"/>
      <c r="G493" s="15"/>
      <c r="H493" s="15"/>
      <c r="J493" s="14" t="s">
        <v>193</v>
      </c>
      <c r="K493" s="15">
        <v>3.14</v>
      </c>
      <c r="L493" s="15">
        <v>19.25</v>
      </c>
      <c r="M493" s="15">
        <v>3.51</v>
      </c>
      <c r="N493" s="15">
        <v>3.01</v>
      </c>
      <c r="O493" s="15">
        <v>38.5</v>
      </c>
      <c r="P493" s="15">
        <v>1.55</v>
      </c>
      <c r="Q493" s="15"/>
      <c r="R493" s="106">
        <v>491</v>
      </c>
      <c r="S493" s="15"/>
      <c r="T493" s="15"/>
      <c r="U493" s="15"/>
    </row>
    <row r="494" spans="1:21">
      <c r="A494" s="15"/>
      <c r="B494" s="15"/>
      <c r="C494" s="15"/>
      <c r="D494" s="15"/>
      <c r="E494" s="15"/>
      <c r="F494" s="15"/>
      <c r="G494" s="15"/>
      <c r="H494" s="15"/>
      <c r="J494" s="14" t="s">
        <v>194</v>
      </c>
      <c r="K494" s="15">
        <v>3.16</v>
      </c>
      <c r="L494" s="15">
        <v>20.399999999999999</v>
      </c>
      <c r="M494" s="15">
        <v>3.43</v>
      </c>
      <c r="N494" s="15">
        <v>3.03</v>
      </c>
      <c r="O494" s="15">
        <v>36.299999999999997</v>
      </c>
      <c r="P494" s="15">
        <v>1.64</v>
      </c>
      <c r="Q494" s="15"/>
      <c r="R494" s="106">
        <v>492</v>
      </c>
      <c r="S494" s="15"/>
      <c r="T494" s="15"/>
      <c r="U494" s="15"/>
    </row>
    <row r="495" spans="1:21">
      <c r="A495" s="15"/>
      <c r="B495" s="15"/>
      <c r="C495" s="15"/>
      <c r="D495" s="15"/>
      <c r="E495" s="15"/>
      <c r="F495" s="15"/>
      <c r="G495" s="15"/>
      <c r="H495" s="15"/>
      <c r="I495" s="4">
        <f t="shared" ref="I495" si="142">I483+1</f>
        <v>1904</v>
      </c>
      <c r="J495" s="14" t="s">
        <v>96</v>
      </c>
      <c r="K495" s="15">
        <v>3.23</v>
      </c>
      <c r="L495" s="15">
        <v>20.440000000000001</v>
      </c>
      <c r="M495" s="15">
        <v>3.1</v>
      </c>
      <c r="N495" s="15">
        <v>2.66</v>
      </c>
      <c r="O495" s="15">
        <v>36.299999999999997</v>
      </c>
      <c r="P495" s="15">
        <v>1.68</v>
      </c>
      <c r="Q495" s="15"/>
      <c r="R495" s="106">
        <v>493</v>
      </c>
      <c r="S495" s="15"/>
      <c r="T495" s="15"/>
      <c r="U495" s="15"/>
    </row>
    <row r="496" spans="1:21">
      <c r="A496" s="15"/>
      <c r="B496" s="15"/>
      <c r="C496" s="15"/>
      <c r="D496" s="15"/>
      <c r="E496" s="15"/>
      <c r="F496" s="15"/>
      <c r="G496" s="15"/>
      <c r="H496" s="15"/>
      <c r="J496" s="14" t="s">
        <v>97</v>
      </c>
      <c r="K496" s="15">
        <v>3.19</v>
      </c>
      <c r="L496" s="15">
        <v>19.649999999999999</v>
      </c>
      <c r="M496" s="15">
        <v>3.21</v>
      </c>
      <c r="N496" s="15">
        <v>2.9</v>
      </c>
      <c r="O496" s="15">
        <v>36.299999999999997</v>
      </c>
      <c r="P496" s="15">
        <v>1.82</v>
      </c>
      <c r="Q496" s="15"/>
      <c r="R496" s="106">
        <v>494</v>
      </c>
      <c r="S496" s="15"/>
      <c r="T496" s="15"/>
      <c r="U496" s="15"/>
    </row>
    <row r="497" spans="1:21">
      <c r="A497" s="15"/>
      <c r="B497" s="15"/>
      <c r="C497" s="15"/>
      <c r="D497" s="15"/>
      <c r="E497" s="15"/>
      <c r="F497" s="15"/>
      <c r="G497" s="15"/>
      <c r="H497" s="15"/>
      <c r="J497" s="14" t="s">
        <v>130</v>
      </c>
      <c r="K497" s="15">
        <v>3.19</v>
      </c>
      <c r="L497" s="15">
        <v>19.13</v>
      </c>
      <c r="M497" s="15">
        <v>3.06</v>
      </c>
      <c r="N497" s="15">
        <v>2.84</v>
      </c>
      <c r="O497" s="15">
        <v>35.75</v>
      </c>
      <c r="P497" s="15">
        <v>1.87</v>
      </c>
      <c r="Q497" s="15"/>
      <c r="R497" s="106">
        <v>495</v>
      </c>
      <c r="S497" s="15"/>
      <c r="T497" s="15"/>
      <c r="U497" s="15"/>
    </row>
    <row r="498" spans="1:21">
      <c r="A498" s="15"/>
      <c r="B498" s="15"/>
      <c r="C498" s="15"/>
      <c r="D498" s="15"/>
      <c r="E498" s="15"/>
      <c r="F498" s="15"/>
      <c r="G498" s="15"/>
      <c r="H498" s="15"/>
      <c r="J498" s="14" t="s">
        <v>131</v>
      </c>
      <c r="K498" s="15">
        <v>3.19</v>
      </c>
      <c r="L498" s="15">
        <v>18.809999999999999</v>
      </c>
      <c r="M498" s="15">
        <v>2.85</v>
      </c>
      <c r="N498" s="15">
        <v>2.82</v>
      </c>
      <c r="O498" s="15">
        <v>31.9</v>
      </c>
      <c r="P498" s="15">
        <v>1.69</v>
      </c>
      <c r="Q498" s="15"/>
      <c r="R498" s="106">
        <v>496</v>
      </c>
      <c r="S498" s="15"/>
      <c r="T498" s="15"/>
      <c r="U498" s="15"/>
    </row>
    <row r="499" spans="1:21">
      <c r="A499" s="15"/>
      <c r="B499" s="15"/>
      <c r="C499" s="15"/>
      <c r="D499" s="15"/>
      <c r="E499" s="15"/>
      <c r="F499" s="15"/>
      <c r="G499" s="15"/>
      <c r="H499" s="15"/>
      <c r="J499" s="14" t="s">
        <v>132</v>
      </c>
      <c r="K499" s="15">
        <v>3.08</v>
      </c>
      <c r="L499" s="15">
        <v>17.47</v>
      </c>
      <c r="M499" s="15">
        <v>3.07</v>
      </c>
      <c r="N499" s="15">
        <v>2.79</v>
      </c>
      <c r="O499" s="15">
        <v>30.8</v>
      </c>
      <c r="P499" s="15">
        <v>1.61</v>
      </c>
      <c r="Q499" s="15"/>
      <c r="R499" s="106">
        <v>497</v>
      </c>
      <c r="S499" s="15"/>
      <c r="T499" s="15"/>
      <c r="U499" s="15"/>
    </row>
    <row r="500" spans="1:21">
      <c r="A500" s="15"/>
      <c r="B500" s="15"/>
      <c r="C500" s="15"/>
      <c r="D500" s="15"/>
      <c r="E500" s="15"/>
      <c r="F500" s="15"/>
      <c r="G500" s="15"/>
      <c r="H500" s="15"/>
      <c r="J500" s="14" t="s">
        <v>133</v>
      </c>
      <c r="K500" s="105">
        <f t="shared" ref="K500:K503" si="143">K499+(K499*(RATE(($R$504-$R$499),0,K$499,-K$504)))</f>
        <v>3.2019525636797264</v>
      </c>
      <c r="L500" s="15">
        <v>17.5</v>
      </c>
      <c r="M500" s="15">
        <v>3.32</v>
      </c>
      <c r="N500" s="15">
        <v>2.76</v>
      </c>
      <c r="O500" s="15">
        <v>30.8</v>
      </c>
      <c r="P500" s="15">
        <v>1.56</v>
      </c>
      <c r="Q500" s="15"/>
      <c r="R500" s="106">
        <v>498</v>
      </c>
      <c r="S500" s="15"/>
      <c r="T500" s="15"/>
      <c r="U500" s="15"/>
    </row>
    <row r="501" spans="1:21">
      <c r="A501" s="15"/>
      <c r="B501" s="15"/>
      <c r="C501" s="15"/>
      <c r="D501" s="15"/>
      <c r="E501" s="15"/>
      <c r="F501" s="15"/>
      <c r="G501" s="15"/>
      <c r="H501" s="15"/>
      <c r="J501" s="14" t="s">
        <v>134</v>
      </c>
      <c r="K501" s="105">
        <f t="shared" si="143"/>
        <v>3.3287338376802507</v>
      </c>
      <c r="L501" s="15">
        <v>16.45</v>
      </c>
      <c r="M501" s="15">
        <v>3.83</v>
      </c>
      <c r="N501" s="15">
        <v>2.94</v>
      </c>
      <c r="O501" s="15">
        <v>30.8</v>
      </c>
      <c r="P501" s="15">
        <v>1.72</v>
      </c>
      <c r="Q501" s="15"/>
      <c r="R501" s="106">
        <v>499</v>
      </c>
      <c r="S501" s="15"/>
      <c r="T501" s="15"/>
      <c r="U501" s="15"/>
    </row>
    <row r="502" spans="1:21">
      <c r="A502" s="15"/>
      <c r="B502" s="15"/>
      <c r="C502" s="15"/>
      <c r="D502" s="15"/>
      <c r="E502" s="15"/>
      <c r="F502" s="15"/>
      <c r="G502" s="15"/>
      <c r="H502" s="15"/>
      <c r="J502" s="14" t="s">
        <v>135</v>
      </c>
      <c r="K502" s="105">
        <f>K501+(K501*(RATE(($R$504-$R$499),0,K$499,-K$504)))</f>
        <v>3.4605350147297833</v>
      </c>
      <c r="L502" s="15">
        <v>16.25</v>
      </c>
      <c r="M502" s="15">
        <v>3.81</v>
      </c>
      <c r="N502" s="15">
        <v>3.21</v>
      </c>
      <c r="O502" s="15">
        <v>34.1</v>
      </c>
      <c r="P502" s="15">
        <v>1.87</v>
      </c>
      <c r="Q502" s="15"/>
      <c r="R502" s="106">
        <v>500</v>
      </c>
      <c r="S502" s="15"/>
      <c r="T502" s="15"/>
      <c r="U502" s="15"/>
    </row>
    <row r="503" spans="1:21">
      <c r="A503" s="15"/>
      <c r="B503" s="15"/>
      <c r="C503" s="15"/>
      <c r="D503" s="15"/>
      <c r="E503" s="15"/>
      <c r="F503" s="15"/>
      <c r="G503" s="15"/>
      <c r="H503" s="15"/>
      <c r="J503" s="14" t="s">
        <v>136</v>
      </c>
      <c r="K503" s="105">
        <f t="shared" si="143"/>
        <v>3.5975548578303536</v>
      </c>
      <c r="L503" s="15">
        <v>16.55</v>
      </c>
      <c r="M503" s="15">
        <v>3.92</v>
      </c>
      <c r="N503" s="15">
        <v>3.3</v>
      </c>
      <c r="O503" s="15">
        <v>35.200000000000003</v>
      </c>
      <c r="P503" s="15">
        <v>1.81</v>
      </c>
      <c r="Q503" s="15"/>
      <c r="R503" s="106">
        <v>501</v>
      </c>
      <c r="S503" s="15"/>
      <c r="T503" s="15"/>
      <c r="U503" s="15"/>
    </row>
    <row r="504" spans="1:21">
      <c r="A504" s="15"/>
      <c r="B504" s="15"/>
      <c r="C504" s="15"/>
      <c r="D504" s="15"/>
      <c r="E504" s="15"/>
      <c r="F504" s="15"/>
      <c r="G504" s="15"/>
      <c r="H504" s="15"/>
      <c r="J504" s="14" t="s">
        <v>192</v>
      </c>
      <c r="K504" s="15">
        <v>3.74</v>
      </c>
      <c r="L504" s="15">
        <v>18.5</v>
      </c>
      <c r="M504" s="15">
        <v>3.7</v>
      </c>
      <c r="N504" s="15">
        <v>3.2</v>
      </c>
      <c r="O504" s="15">
        <v>35.200000000000003</v>
      </c>
      <c r="P504" s="15">
        <v>1.78</v>
      </c>
      <c r="Q504" s="15"/>
      <c r="R504" s="106">
        <v>502</v>
      </c>
      <c r="S504" s="15"/>
      <c r="T504" s="15"/>
      <c r="U504" s="15"/>
    </row>
    <row r="505" spans="1:21">
      <c r="A505" s="15"/>
      <c r="B505" s="15"/>
      <c r="C505" s="15"/>
      <c r="D505" s="15"/>
      <c r="E505" s="15"/>
      <c r="F505" s="15"/>
      <c r="G505" s="15"/>
      <c r="H505" s="15"/>
      <c r="J505" s="14" t="s">
        <v>193</v>
      </c>
      <c r="K505" s="15">
        <v>3.74</v>
      </c>
      <c r="L505" s="15">
        <v>21</v>
      </c>
      <c r="M505" s="15">
        <v>3.57</v>
      </c>
      <c r="N505" s="15">
        <v>3.12</v>
      </c>
      <c r="O505" s="15">
        <v>35.200000000000003</v>
      </c>
      <c r="P505" s="15">
        <v>1.88</v>
      </c>
      <c r="Q505" s="15"/>
      <c r="R505" s="106">
        <v>503</v>
      </c>
      <c r="S505" s="15"/>
      <c r="T505" s="15"/>
      <c r="U505" s="15"/>
    </row>
    <row r="506" spans="1:21">
      <c r="A506" s="15"/>
      <c r="B506" s="15"/>
      <c r="C506" s="15"/>
      <c r="D506" s="15"/>
      <c r="E506" s="15"/>
      <c r="F506" s="15"/>
      <c r="G506" s="15"/>
      <c r="H506" s="15"/>
      <c r="J506" s="14" t="s">
        <v>194</v>
      </c>
      <c r="K506" s="15">
        <v>3.69</v>
      </c>
      <c r="L506" s="15">
        <v>21.75</v>
      </c>
      <c r="M506" s="15">
        <v>3.37</v>
      </c>
      <c r="N506" s="15">
        <v>3.03</v>
      </c>
      <c r="O506" s="15">
        <v>33</v>
      </c>
      <c r="P506" s="15">
        <v>1.98</v>
      </c>
      <c r="Q506" s="15"/>
      <c r="R506" s="106">
        <v>504</v>
      </c>
      <c r="S506" s="15"/>
      <c r="T506" s="15"/>
      <c r="U506" s="15"/>
    </row>
    <row r="507" spans="1:21">
      <c r="A507" s="15"/>
      <c r="B507" s="15"/>
      <c r="C507" s="15"/>
      <c r="D507" s="15"/>
      <c r="E507" s="15"/>
      <c r="F507" s="15"/>
      <c r="G507" s="15"/>
      <c r="H507" s="15"/>
      <c r="I507" s="4">
        <f t="shared" ref="I507" si="144">I495+1</f>
        <v>1905</v>
      </c>
      <c r="J507" s="14" t="s">
        <v>96</v>
      </c>
      <c r="K507" s="15">
        <v>3.69</v>
      </c>
      <c r="L507" s="15">
        <v>23.75</v>
      </c>
      <c r="M507" s="15">
        <v>3.23</v>
      </c>
      <c r="N507" s="15">
        <v>2.96</v>
      </c>
      <c r="O507" s="15">
        <v>34.32</v>
      </c>
      <c r="P507" s="15">
        <v>1.93</v>
      </c>
      <c r="Q507" s="15"/>
      <c r="R507" s="106">
        <v>505</v>
      </c>
      <c r="S507" s="15"/>
      <c r="T507" s="15"/>
      <c r="U507" s="15"/>
    </row>
    <row r="508" spans="1:21">
      <c r="A508" s="15"/>
      <c r="B508" s="15"/>
      <c r="C508" s="15"/>
      <c r="D508" s="15"/>
      <c r="E508" s="15"/>
      <c r="F508" s="15"/>
      <c r="G508" s="15"/>
      <c r="H508" s="15"/>
      <c r="J508" s="14" t="s">
        <v>97</v>
      </c>
      <c r="K508" s="15">
        <v>3.67</v>
      </c>
      <c r="L508" s="15">
        <v>22.95</v>
      </c>
      <c r="M508" s="15">
        <v>3.59</v>
      </c>
      <c r="N508" s="15">
        <v>2.98</v>
      </c>
      <c r="O508" s="15">
        <v>30.8</v>
      </c>
      <c r="P508" s="15">
        <v>2.0299999999999998</v>
      </c>
      <c r="Q508" s="15"/>
      <c r="R508" s="106">
        <v>506</v>
      </c>
      <c r="S508" s="15"/>
      <c r="T508" s="15"/>
      <c r="U508" s="15"/>
    </row>
    <row r="509" spans="1:21">
      <c r="A509" s="15"/>
      <c r="B509" s="15"/>
      <c r="C509" s="15"/>
      <c r="D509" s="15"/>
      <c r="E509" s="15"/>
      <c r="F509" s="15"/>
      <c r="G509" s="15"/>
      <c r="H509" s="15"/>
      <c r="J509" s="14" t="s">
        <v>130</v>
      </c>
      <c r="K509" s="15">
        <v>3.67</v>
      </c>
      <c r="L509" s="15">
        <v>22.56</v>
      </c>
      <c r="M509" s="15">
        <v>3.84</v>
      </c>
      <c r="N509" s="15">
        <v>2.97</v>
      </c>
      <c r="O509" s="15">
        <v>30.8</v>
      </c>
      <c r="P509" s="15">
        <v>2.09</v>
      </c>
      <c r="Q509" s="15"/>
      <c r="R509" s="106">
        <v>507</v>
      </c>
      <c r="S509" s="15"/>
      <c r="T509" s="15"/>
      <c r="U509" s="15"/>
    </row>
    <row r="510" spans="1:21">
      <c r="A510" s="15"/>
      <c r="B510" s="15"/>
      <c r="C510" s="15"/>
      <c r="D510" s="15"/>
      <c r="E510" s="15"/>
      <c r="F510" s="15"/>
      <c r="G510" s="15"/>
      <c r="H510" s="15"/>
      <c r="J510" s="14" t="s">
        <v>131</v>
      </c>
      <c r="K510" s="15">
        <v>3.67</v>
      </c>
      <c r="L510" s="15">
        <v>22</v>
      </c>
      <c r="M510" s="15">
        <v>4.16</v>
      </c>
      <c r="N510" s="15">
        <v>2.89</v>
      </c>
      <c r="O510" s="15">
        <v>34.1</v>
      </c>
      <c r="P510" s="15">
        <v>1.85</v>
      </c>
      <c r="Q510" s="15"/>
      <c r="R510" s="106">
        <v>508</v>
      </c>
      <c r="S510" s="15"/>
      <c r="T510" s="15"/>
      <c r="U510" s="15"/>
    </row>
    <row r="511" spans="1:21">
      <c r="A511" s="15"/>
      <c r="B511" s="15"/>
      <c r="C511" s="15"/>
      <c r="D511" s="15"/>
      <c r="E511" s="15"/>
      <c r="F511" s="15"/>
      <c r="G511" s="15"/>
      <c r="H511" s="15"/>
      <c r="J511" s="14" t="s">
        <v>132</v>
      </c>
      <c r="K511" s="15">
        <v>3.67</v>
      </c>
      <c r="L511" s="15">
        <v>21.62</v>
      </c>
      <c r="M511" s="15">
        <v>4.54</v>
      </c>
      <c r="N511" s="15">
        <v>2.94</v>
      </c>
      <c r="O511" s="15">
        <v>33</v>
      </c>
      <c r="P511" s="15">
        <v>1.95</v>
      </c>
      <c r="Q511" s="15"/>
      <c r="R511" s="106">
        <v>509</v>
      </c>
      <c r="S511" s="15"/>
      <c r="T511" s="15"/>
      <c r="U511" s="15"/>
    </row>
    <row r="512" spans="1:21">
      <c r="A512" s="15"/>
      <c r="B512" s="15"/>
      <c r="C512" s="15"/>
      <c r="D512" s="15"/>
      <c r="E512" s="15"/>
      <c r="F512" s="15"/>
      <c r="G512" s="15"/>
      <c r="H512" s="15"/>
      <c r="J512" s="14" t="s">
        <v>133</v>
      </c>
      <c r="K512" s="105">
        <f t="shared" ref="K512:K516" si="145">K511+(K511*(RATE(($R$517-$R$511),0,K$511,-K$517)))</f>
        <v>3.8010602525418711</v>
      </c>
      <c r="L512" s="15">
        <v>21.2</v>
      </c>
      <c r="M512" s="15">
        <v>4.53</v>
      </c>
      <c r="N512" s="15">
        <v>2.91</v>
      </c>
      <c r="O512" s="15">
        <v>33</v>
      </c>
      <c r="P512" s="15">
        <v>2.0299999999999998</v>
      </c>
      <c r="Q512" s="15"/>
      <c r="R512" s="106">
        <v>510</v>
      </c>
      <c r="S512" s="15"/>
      <c r="T512" s="15"/>
      <c r="U512" s="15"/>
    </row>
    <row r="513" spans="1:21">
      <c r="A513" s="15"/>
      <c r="B513" s="15"/>
      <c r="C513" s="15"/>
      <c r="D513" s="15"/>
      <c r="E513" s="15"/>
      <c r="F513" s="15"/>
      <c r="G513" s="15"/>
      <c r="H513" s="15"/>
      <c r="J513" s="14" t="s">
        <v>134</v>
      </c>
      <c r="K513" s="105">
        <f t="shared" si="145"/>
        <v>3.9368008292789298</v>
      </c>
      <c r="L513" s="15">
        <v>21.08</v>
      </c>
      <c r="M513" s="15">
        <v>4.46</v>
      </c>
      <c r="N513" s="15">
        <v>2.95</v>
      </c>
      <c r="O513" s="15">
        <v>34.01</v>
      </c>
      <c r="P513" s="15">
        <v>2.08</v>
      </c>
      <c r="Q513" s="15"/>
      <c r="R513" s="106">
        <v>511</v>
      </c>
      <c r="S513" s="15"/>
      <c r="T513" s="15"/>
      <c r="U513" s="15"/>
    </row>
    <row r="514" spans="1:21">
      <c r="A514" s="15"/>
      <c r="B514" s="15"/>
      <c r="C514" s="15"/>
      <c r="D514" s="15"/>
      <c r="E514" s="15"/>
      <c r="F514" s="15"/>
      <c r="G514" s="15"/>
      <c r="H514" s="15"/>
      <c r="J514" s="14" t="s">
        <v>135</v>
      </c>
      <c r="K514" s="105">
        <f>K513+(K513*(RATE(($R$517-$R$511),0,K$511,-K$517)))</f>
        <v>4.0773888703940102</v>
      </c>
      <c r="L514" s="15">
        <v>21.9</v>
      </c>
      <c r="M514" s="15">
        <v>4.29</v>
      </c>
      <c r="N514" s="15">
        <v>2.94</v>
      </c>
      <c r="O514" s="15">
        <v>36.08</v>
      </c>
      <c r="P514" s="15">
        <v>2.11</v>
      </c>
      <c r="Q514" s="15"/>
      <c r="R514" s="106">
        <v>512</v>
      </c>
      <c r="S514" s="15"/>
      <c r="T514" s="15"/>
      <c r="U514" s="15"/>
    </row>
    <row r="515" spans="1:21">
      <c r="A515" s="15"/>
      <c r="B515" s="15"/>
      <c r="C515" s="15"/>
      <c r="D515" s="15"/>
      <c r="E515" s="15"/>
      <c r="F515" s="15"/>
      <c r="G515" s="15"/>
      <c r="H515" s="15"/>
      <c r="J515" s="14" t="s">
        <v>136</v>
      </c>
      <c r="K515" s="105">
        <f t="shared" si="145"/>
        <v>4.2229974848532077</v>
      </c>
      <c r="L515" s="15">
        <v>23.25</v>
      </c>
      <c r="M515" s="15">
        <v>4.0599999999999996</v>
      </c>
      <c r="N515" s="15">
        <v>2.98</v>
      </c>
      <c r="O515" s="15">
        <v>36.08</v>
      </c>
      <c r="P515" s="15">
        <v>2.14</v>
      </c>
      <c r="Q515" s="15"/>
      <c r="R515" s="106">
        <v>513</v>
      </c>
      <c r="S515" s="15"/>
      <c r="T515" s="15"/>
      <c r="U515" s="15"/>
    </row>
    <row r="516" spans="1:21">
      <c r="A516" s="15"/>
      <c r="B516" s="15"/>
      <c r="C516" s="15"/>
      <c r="D516" s="15"/>
      <c r="E516" s="15"/>
      <c r="F516" s="15"/>
      <c r="G516" s="15"/>
      <c r="H516" s="15"/>
      <c r="J516" s="14" t="s">
        <v>192</v>
      </c>
      <c r="K516" s="105">
        <f t="shared" si="145"/>
        <v>4.3738059635585342</v>
      </c>
      <c r="L516" s="15">
        <v>23.88</v>
      </c>
      <c r="M516" s="15">
        <v>4.09</v>
      </c>
      <c r="N516" s="15">
        <v>3.13</v>
      </c>
      <c r="O516" s="15">
        <v>38.1</v>
      </c>
      <c r="P516" s="15">
        <v>2.21</v>
      </c>
      <c r="Q516" s="15"/>
      <c r="R516" s="106">
        <v>514</v>
      </c>
      <c r="S516" s="15"/>
      <c r="T516" s="15"/>
      <c r="U516" s="15"/>
    </row>
    <row r="517" spans="1:21">
      <c r="A517" s="15"/>
      <c r="B517" s="15"/>
      <c r="C517" s="15"/>
      <c r="D517" s="15"/>
      <c r="E517" s="15"/>
      <c r="F517" s="15"/>
      <c r="G517" s="15"/>
      <c r="H517" s="15"/>
      <c r="J517" s="14" t="s">
        <v>193</v>
      </c>
      <c r="K517" s="15">
        <v>4.53</v>
      </c>
      <c r="L517" s="15">
        <v>24.12</v>
      </c>
      <c r="M517" s="15">
        <v>4.3099999999999996</v>
      </c>
      <c r="N517" s="15">
        <v>3.26</v>
      </c>
      <c r="O517" s="15">
        <v>38.28</v>
      </c>
      <c r="P517" s="15">
        <v>2.34</v>
      </c>
      <c r="Q517" s="15"/>
      <c r="R517" s="106">
        <v>515</v>
      </c>
      <c r="S517" s="15"/>
      <c r="T517" s="15"/>
      <c r="U517" s="15"/>
    </row>
    <row r="518" spans="1:21">
      <c r="A518" s="15"/>
      <c r="B518" s="15"/>
      <c r="C518" s="15"/>
      <c r="D518" s="15"/>
      <c r="E518" s="15"/>
      <c r="F518" s="15"/>
      <c r="G518" s="15"/>
      <c r="H518" s="15"/>
      <c r="J518" s="14" t="s">
        <v>194</v>
      </c>
      <c r="K518" s="15">
        <v>4.45</v>
      </c>
      <c r="L518" s="15">
        <v>24.05</v>
      </c>
      <c r="M518" s="15">
        <v>4.55</v>
      </c>
      <c r="N518" s="15">
        <v>3.31</v>
      </c>
      <c r="O518" s="15">
        <v>38.39</v>
      </c>
      <c r="P518" s="15">
        <v>2.2599999999999998</v>
      </c>
      <c r="Q518" s="15"/>
      <c r="R518" s="106">
        <v>516</v>
      </c>
      <c r="S518" s="15"/>
      <c r="T518" s="15"/>
      <c r="U518" s="15"/>
    </row>
    <row r="519" spans="1:21">
      <c r="A519" s="15"/>
      <c r="B519" s="15"/>
      <c r="C519" s="15"/>
      <c r="D519" s="15"/>
      <c r="E519" s="15"/>
      <c r="F519" s="15"/>
      <c r="G519" s="15"/>
      <c r="H519" s="15"/>
      <c r="I519" s="4">
        <f t="shared" ref="I519" si="146">I507+1</f>
        <v>1906</v>
      </c>
      <c r="J519" s="14" t="s">
        <v>96</v>
      </c>
      <c r="K519" s="15">
        <v>4.4000000000000004</v>
      </c>
      <c r="L519" s="15">
        <v>24.38</v>
      </c>
      <c r="M519" s="15">
        <v>4.9400000000000004</v>
      </c>
      <c r="N519" s="15">
        <v>3.1</v>
      </c>
      <c r="O519" s="15">
        <v>35.75</v>
      </c>
      <c r="P519" s="15">
        <v>2.15</v>
      </c>
      <c r="Q519" s="15"/>
      <c r="R519" s="106">
        <v>517</v>
      </c>
      <c r="S519" s="15"/>
      <c r="T519" s="15"/>
      <c r="U519" s="15"/>
    </row>
    <row r="520" spans="1:21">
      <c r="A520" s="15"/>
      <c r="B520" s="15"/>
      <c r="C520" s="15"/>
      <c r="D520" s="15"/>
      <c r="E520" s="15"/>
      <c r="F520" s="15"/>
      <c r="G520" s="15"/>
      <c r="H520" s="15"/>
      <c r="J520" s="14" t="s">
        <v>97</v>
      </c>
      <c r="K520" s="15">
        <v>4.4000000000000004</v>
      </c>
      <c r="L520" s="15">
        <v>23.86</v>
      </c>
      <c r="M520" s="15">
        <v>4.8600000000000003</v>
      </c>
      <c r="N520" s="15">
        <v>2.99</v>
      </c>
      <c r="O520" s="15">
        <v>35.200000000000003</v>
      </c>
      <c r="P520" s="15">
        <v>2.2000000000000002</v>
      </c>
      <c r="Q520" s="15"/>
      <c r="R520" s="106">
        <v>518</v>
      </c>
      <c r="S520" s="15"/>
      <c r="T520" s="15"/>
      <c r="U520" s="15"/>
    </row>
    <row r="521" spans="1:21">
      <c r="A521" s="15"/>
      <c r="B521" s="15"/>
      <c r="C521" s="15"/>
      <c r="D521" s="15"/>
      <c r="E521" s="15"/>
      <c r="F521" s="15"/>
      <c r="G521" s="15"/>
      <c r="H521" s="15"/>
      <c r="J521" s="14" t="s">
        <v>130</v>
      </c>
      <c r="K521" s="15">
        <v>4.4000000000000004</v>
      </c>
      <c r="L521" s="15">
        <v>23.75</v>
      </c>
      <c r="M521" s="15">
        <v>4.79</v>
      </c>
      <c r="N521" s="15">
        <v>2.92</v>
      </c>
      <c r="O521" s="15">
        <v>35.200000000000003</v>
      </c>
      <c r="P521" s="15">
        <v>1.98</v>
      </c>
      <c r="Q521" s="15"/>
      <c r="R521" s="106">
        <v>519</v>
      </c>
      <c r="S521" s="15"/>
      <c r="T521" s="15"/>
      <c r="U521" s="15"/>
    </row>
    <row r="522" spans="1:21">
      <c r="A522" s="15"/>
      <c r="B522" s="15"/>
      <c r="C522" s="15"/>
      <c r="D522" s="15"/>
      <c r="E522" s="15"/>
      <c r="F522" s="15"/>
      <c r="G522" s="15"/>
      <c r="H522" s="15"/>
      <c r="J522" s="14" t="s">
        <v>131</v>
      </c>
      <c r="K522" s="15">
        <v>4.51</v>
      </c>
      <c r="L522" s="15">
        <v>24.22</v>
      </c>
      <c r="M522" s="15">
        <v>4.9000000000000004</v>
      </c>
      <c r="N522" s="15">
        <v>2.97</v>
      </c>
      <c r="O522" s="15">
        <v>35.75</v>
      </c>
      <c r="P522" s="15">
        <v>2.0499999999999998</v>
      </c>
      <c r="Q522" s="15"/>
      <c r="R522" s="106">
        <v>520</v>
      </c>
      <c r="S522" s="15"/>
      <c r="T522" s="15"/>
      <c r="U522" s="15"/>
    </row>
    <row r="523" spans="1:21">
      <c r="A523" s="15"/>
      <c r="B523" s="15"/>
      <c r="C523" s="15"/>
      <c r="D523" s="15"/>
      <c r="E523" s="15"/>
      <c r="F523" s="15"/>
      <c r="G523" s="15"/>
      <c r="H523" s="15"/>
      <c r="J523" s="14" t="s">
        <v>132</v>
      </c>
      <c r="K523" s="105">
        <f t="shared" ref="K523:K528" si="147">K522+(K522*(RATE(($R$529-$R$522),0,K$522,-K$529)))</f>
        <v>4.4853125517210408</v>
      </c>
      <c r="L523" s="15">
        <v>25.15</v>
      </c>
      <c r="M523" s="15">
        <v>4.74</v>
      </c>
      <c r="N523" s="15">
        <v>2.98</v>
      </c>
      <c r="O523" s="15">
        <v>36.299999999999997</v>
      </c>
      <c r="P523" s="15">
        <v>1.96</v>
      </c>
      <c r="Q523" s="15"/>
      <c r="R523" s="106">
        <v>521</v>
      </c>
      <c r="S523" s="15"/>
      <c r="T523" s="15"/>
      <c r="U523" s="15"/>
    </row>
    <row r="524" spans="1:21">
      <c r="A524" s="15"/>
      <c r="B524" s="15"/>
      <c r="C524" s="15"/>
      <c r="D524" s="15"/>
      <c r="E524" s="15"/>
      <c r="F524" s="15"/>
      <c r="G524" s="15"/>
      <c r="H524" s="15"/>
      <c r="J524" s="14" t="s">
        <v>133</v>
      </c>
      <c r="K524" s="105">
        <f t="shared" si="147"/>
        <v>4.4607602409370992</v>
      </c>
      <c r="L524" s="15">
        <v>25.41</v>
      </c>
      <c r="M524" s="15">
        <v>4.6500000000000004</v>
      </c>
      <c r="N524" s="15">
        <v>2.96</v>
      </c>
      <c r="O524" s="15">
        <v>37.4</v>
      </c>
      <c r="P524" s="15">
        <v>1.96</v>
      </c>
      <c r="Q524" s="15"/>
      <c r="R524" s="106">
        <v>522</v>
      </c>
      <c r="S524" s="15"/>
      <c r="T524" s="15"/>
      <c r="U524" s="15"/>
    </row>
    <row r="525" spans="1:21">
      <c r="A525" s="15"/>
      <c r="B525" s="15"/>
      <c r="C525" s="15"/>
      <c r="D525" s="15"/>
      <c r="E525" s="15"/>
      <c r="F525" s="15"/>
      <c r="G525" s="15"/>
      <c r="H525" s="15"/>
      <c r="J525" s="14" t="s">
        <v>134</v>
      </c>
      <c r="K525" s="105">
        <f t="shared" si="147"/>
        <v>4.436342327914268</v>
      </c>
      <c r="L525" s="15">
        <v>25.35</v>
      </c>
      <c r="M525" s="15">
        <v>4.72</v>
      </c>
      <c r="N525" s="15">
        <v>3.03</v>
      </c>
      <c r="O525" s="15">
        <v>38.01</v>
      </c>
      <c r="P525" s="15">
        <v>1.99</v>
      </c>
      <c r="Q525" s="15"/>
      <c r="R525" s="106">
        <v>523</v>
      </c>
      <c r="S525" s="15"/>
      <c r="T525" s="15"/>
      <c r="U525" s="15"/>
    </row>
    <row r="526" spans="1:21">
      <c r="A526" s="15"/>
      <c r="B526" s="15"/>
      <c r="C526" s="15"/>
      <c r="D526" s="15"/>
      <c r="E526" s="15"/>
      <c r="F526" s="15"/>
      <c r="G526" s="15"/>
      <c r="H526" s="15"/>
      <c r="J526" s="14" t="s">
        <v>135</v>
      </c>
      <c r="K526" s="105">
        <f>K525+(K525*(RATE(($R$529-$R$522),0,K$522,-K$529)))</f>
        <v>4.4120580769678961</v>
      </c>
      <c r="L526" s="15">
        <v>25.58</v>
      </c>
      <c r="M526" s="15">
        <v>4.8</v>
      </c>
      <c r="N526" s="15">
        <v>3.04</v>
      </c>
      <c r="O526" s="15">
        <v>37.619999999999997</v>
      </c>
      <c r="P526" s="15">
        <v>2.0099999999999998</v>
      </c>
      <c r="Q526" s="15"/>
      <c r="R526" s="106">
        <v>524</v>
      </c>
      <c r="S526" s="15"/>
      <c r="T526" s="15"/>
      <c r="U526" s="15"/>
    </row>
    <row r="527" spans="1:21">
      <c r="A527" s="15"/>
      <c r="B527" s="15"/>
      <c r="C527" s="15"/>
      <c r="D527" s="15"/>
      <c r="E527" s="15"/>
      <c r="F527" s="15"/>
      <c r="G527" s="15"/>
      <c r="H527" s="15"/>
      <c r="J527" s="14" t="s">
        <v>136</v>
      </c>
      <c r="K527" s="105">
        <f t="shared" si="147"/>
        <v>4.3879067564404224</v>
      </c>
      <c r="L527" s="15">
        <v>26.76</v>
      </c>
      <c r="M527" s="15">
        <v>4.68</v>
      </c>
      <c r="N527" s="15">
        <v>3.01</v>
      </c>
      <c r="O527" s="15">
        <v>40.04</v>
      </c>
      <c r="P527" s="15">
        <v>1.95</v>
      </c>
      <c r="Q527" s="15"/>
      <c r="R527" s="106">
        <v>525</v>
      </c>
      <c r="S527" s="15"/>
      <c r="T527" s="15"/>
      <c r="U527" s="15"/>
    </row>
    <row r="528" spans="1:21">
      <c r="A528" s="15"/>
      <c r="B528" s="15"/>
      <c r="C528" s="15"/>
      <c r="D528" s="15"/>
      <c r="E528" s="15"/>
      <c r="F528" s="15"/>
      <c r="G528" s="15"/>
      <c r="H528" s="15"/>
      <c r="J528" s="14" t="s">
        <v>192</v>
      </c>
      <c r="K528" s="105">
        <f t="shared" si="147"/>
        <v>4.3638876386793326</v>
      </c>
      <c r="L528" s="15">
        <v>28.21</v>
      </c>
      <c r="M528" s="15">
        <v>4.71</v>
      </c>
      <c r="N528" s="15">
        <v>3.05</v>
      </c>
      <c r="O528" s="15">
        <v>42.32</v>
      </c>
      <c r="P528" s="15">
        <v>1.9</v>
      </c>
      <c r="Q528" s="15"/>
      <c r="R528" s="106">
        <v>526</v>
      </c>
      <c r="S528" s="15"/>
      <c r="T528" s="15"/>
      <c r="U528" s="15"/>
    </row>
    <row r="529" spans="1:21">
      <c r="A529" s="15"/>
      <c r="B529" s="15"/>
      <c r="C529" s="15"/>
      <c r="D529" s="15"/>
      <c r="E529" s="15"/>
      <c r="F529" s="15"/>
      <c r="G529" s="15"/>
      <c r="H529" s="15"/>
      <c r="J529" s="14" t="s">
        <v>193</v>
      </c>
      <c r="K529" s="15">
        <v>4.34</v>
      </c>
      <c r="L529" s="15">
        <v>27.98</v>
      </c>
      <c r="M529" s="15">
        <v>4.8</v>
      </c>
      <c r="N529" s="15">
        <v>3.07</v>
      </c>
      <c r="O529" s="15">
        <v>43.69</v>
      </c>
      <c r="P529" s="15">
        <v>1.92</v>
      </c>
      <c r="Q529" s="15"/>
      <c r="R529" s="106">
        <v>527</v>
      </c>
      <c r="S529" s="15"/>
      <c r="T529" s="15"/>
      <c r="U529" s="15"/>
    </row>
    <row r="530" spans="1:21">
      <c r="A530" s="15"/>
      <c r="B530" s="15"/>
      <c r="C530" s="15"/>
      <c r="D530" s="15"/>
      <c r="E530" s="15"/>
      <c r="F530" s="15"/>
      <c r="G530" s="15"/>
      <c r="H530" s="15"/>
      <c r="J530" s="14" t="s">
        <v>194</v>
      </c>
      <c r="K530" s="15">
        <v>4.4800000000000004</v>
      </c>
      <c r="L530" s="15">
        <v>26.57</v>
      </c>
      <c r="M530" s="15">
        <v>4.63</v>
      </c>
      <c r="N530" s="15">
        <v>2.93</v>
      </c>
      <c r="O530" s="15">
        <v>44</v>
      </c>
      <c r="P530" s="15">
        <v>1.96</v>
      </c>
      <c r="Q530" s="15"/>
      <c r="R530" s="106">
        <v>528</v>
      </c>
      <c r="S530" s="15"/>
      <c r="T530" s="15"/>
      <c r="U530" s="15"/>
    </row>
    <row r="531" spans="1:21">
      <c r="A531" s="15"/>
      <c r="B531" s="15"/>
      <c r="C531" s="15"/>
      <c r="D531" s="15"/>
      <c r="E531" s="15"/>
      <c r="F531" s="15"/>
      <c r="G531" s="15"/>
      <c r="H531" s="15"/>
      <c r="I531" s="4">
        <f t="shared" ref="I531" si="148">I519+1</f>
        <v>1907</v>
      </c>
      <c r="J531" s="14" t="s">
        <v>96</v>
      </c>
      <c r="K531" s="15">
        <v>4.59</v>
      </c>
      <c r="L531" s="15">
        <v>26.75</v>
      </c>
      <c r="M531" s="15">
        <v>4.32</v>
      </c>
      <c r="N531" s="15">
        <v>2.76</v>
      </c>
      <c r="O531" s="15">
        <v>42.5</v>
      </c>
      <c r="P531" s="15">
        <v>1.91</v>
      </c>
      <c r="Q531" s="15"/>
      <c r="R531" s="106">
        <v>529</v>
      </c>
      <c r="S531" s="15"/>
      <c r="T531" s="15"/>
      <c r="U531" s="15"/>
    </row>
    <row r="532" spans="1:21">
      <c r="A532" s="15"/>
      <c r="B532" s="15"/>
      <c r="C532" s="15"/>
      <c r="D532" s="15"/>
      <c r="E532" s="15"/>
      <c r="F532" s="15"/>
      <c r="G532" s="15"/>
      <c r="H532" s="15"/>
      <c r="J532" s="14" t="s">
        <v>97</v>
      </c>
      <c r="K532" s="15">
        <v>4.62</v>
      </c>
      <c r="L532" s="15">
        <v>27.77</v>
      </c>
      <c r="M532" s="15">
        <v>4.32</v>
      </c>
      <c r="N532" s="15">
        <v>2.75</v>
      </c>
      <c r="O532" s="15">
        <v>38.229999999999997</v>
      </c>
      <c r="P532" s="15">
        <v>2.02</v>
      </c>
      <c r="Q532" s="15"/>
      <c r="R532" s="106">
        <v>530</v>
      </c>
      <c r="S532" s="15"/>
      <c r="T532" s="15"/>
      <c r="U532" s="15"/>
    </row>
    <row r="533" spans="1:21">
      <c r="A533" s="15"/>
      <c r="B533" s="15"/>
      <c r="C533" s="15"/>
      <c r="D533" s="15"/>
      <c r="E533" s="15"/>
      <c r="F533" s="15"/>
      <c r="G533" s="15"/>
      <c r="H533" s="15"/>
      <c r="J533" s="14" t="s">
        <v>130</v>
      </c>
      <c r="K533" s="15">
        <v>4.7</v>
      </c>
      <c r="L533" s="15">
        <v>27.46</v>
      </c>
      <c r="M533" s="15">
        <v>4.41</v>
      </c>
      <c r="N533" s="15">
        <v>2.71</v>
      </c>
      <c r="O533" s="15">
        <v>39.6</v>
      </c>
      <c r="P533" s="15">
        <v>1.97</v>
      </c>
      <c r="Q533" s="15"/>
      <c r="R533" s="106">
        <v>531</v>
      </c>
      <c r="S533" s="15"/>
      <c r="T533" s="15"/>
      <c r="U533" s="15"/>
    </row>
    <row r="534" spans="1:21">
      <c r="A534" s="15"/>
      <c r="B534" s="15"/>
      <c r="C534" s="15"/>
      <c r="D534" s="15"/>
      <c r="E534" s="15"/>
      <c r="F534" s="15"/>
      <c r="G534" s="15"/>
      <c r="H534" s="15"/>
      <c r="J534" s="14" t="s">
        <v>131</v>
      </c>
      <c r="K534" s="15">
        <v>4.2</v>
      </c>
      <c r="L534" s="15">
        <v>26.649999999999995</v>
      </c>
      <c r="M534" s="15">
        <v>4.54</v>
      </c>
      <c r="N534" s="15">
        <v>2.83</v>
      </c>
      <c r="O534" s="15">
        <v>41.8</v>
      </c>
      <c r="P534" s="15">
        <v>2</v>
      </c>
      <c r="Q534" s="15"/>
      <c r="R534" s="106">
        <v>532</v>
      </c>
      <c r="S534" s="15"/>
      <c r="T534" s="15"/>
      <c r="U534" s="15"/>
    </row>
    <row r="535" spans="1:21">
      <c r="A535" s="15"/>
      <c r="B535" s="15"/>
      <c r="C535" s="15"/>
      <c r="D535" s="15"/>
      <c r="E535" s="15"/>
      <c r="F535" s="15"/>
      <c r="G535" s="15"/>
      <c r="H535" s="15"/>
      <c r="J535" s="14" t="s">
        <v>132</v>
      </c>
      <c r="K535" s="15">
        <v>3.85</v>
      </c>
      <c r="L535" s="15">
        <v>26.07</v>
      </c>
      <c r="M535" s="15">
        <v>5.09</v>
      </c>
      <c r="N535" s="15">
        <v>3.29</v>
      </c>
      <c r="O535" s="15">
        <v>38.94</v>
      </c>
      <c r="P535" s="15">
        <v>2.14</v>
      </c>
      <c r="Q535" s="15"/>
      <c r="R535" s="106">
        <v>533</v>
      </c>
      <c r="S535" s="15"/>
      <c r="T535" s="15"/>
      <c r="U535" s="15"/>
    </row>
    <row r="536" spans="1:21">
      <c r="A536" s="15"/>
      <c r="B536" s="15"/>
      <c r="C536" s="15"/>
      <c r="D536" s="15"/>
      <c r="E536" s="15"/>
      <c r="F536" s="15"/>
      <c r="G536" s="15"/>
      <c r="H536" s="15"/>
      <c r="J536" s="14" t="s">
        <v>133</v>
      </c>
      <c r="K536" s="15">
        <v>3.85</v>
      </c>
      <c r="L536" s="15">
        <v>25.869999999999997</v>
      </c>
      <c r="M536" s="15">
        <v>5.27</v>
      </c>
      <c r="N536" s="15">
        <v>3.46</v>
      </c>
      <c r="O536" s="15">
        <v>39.049999999999997</v>
      </c>
      <c r="P536" s="15">
        <v>2.2400000000000002</v>
      </c>
      <c r="Q536" s="15"/>
      <c r="R536" s="106">
        <v>534</v>
      </c>
      <c r="S536" s="15"/>
      <c r="T536" s="15"/>
      <c r="U536" s="15"/>
    </row>
    <row r="537" spans="1:21">
      <c r="A537" s="15"/>
      <c r="B537" s="15"/>
      <c r="C537" s="15"/>
      <c r="D537" s="15"/>
      <c r="E537" s="15"/>
      <c r="F537" s="15"/>
      <c r="G537" s="15"/>
      <c r="H537" s="15"/>
      <c r="J537" s="14" t="s">
        <v>134</v>
      </c>
      <c r="K537" s="105">
        <f>K536+(K536*(RATE(($R$540-$R$536),0,K$536,-K$540)))</f>
        <v>4.0053427188406676</v>
      </c>
      <c r="L537" s="15">
        <v>24.47</v>
      </c>
      <c r="M537" s="15">
        <v>5.09</v>
      </c>
      <c r="N537" s="15">
        <v>3.73</v>
      </c>
      <c r="O537" s="15">
        <v>40.21</v>
      </c>
      <c r="P537" s="15">
        <v>2.2999999999999998</v>
      </c>
      <c r="Q537" s="15"/>
      <c r="R537" s="106">
        <v>535</v>
      </c>
      <c r="S537" s="15"/>
      <c r="T537" s="15"/>
      <c r="U537" s="15"/>
    </row>
    <row r="538" spans="1:21">
      <c r="A538" s="15"/>
      <c r="B538" s="15"/>
      <c r="C538" s="15"/>
      <c r="D538" s="15"/>
      <c r="E538" s="15"/>
      <c r="F538" s="15"/>
      <c r="G538" s="15"/>
      <c r="H538" s="15"/>
      <c r="J538" s="14" t="s">
        <v>135</v>
      </c>
      <c r="K538" s="105">
        <f>K537+(K537*(RATE(($R$540-$R$536),0,K$536,-K$540)))</f>
        <v>4.1669533234727147</v>
      </c>
      <c r="L538" s="15">
        <v>25.06</v>
      </c>
      <c r="M538" s="15">
        <v>4.88</v>
      </c>
      <c r="N538" s="15">
        <v>3.68</v>
      </c>
      <c r="O538" s="15">
        <v>41.89</v>
      </c>
      <c r="P538" s="15">
        <v>2.33</v>
      </c>
      <c r="Q538" s="15"/>
      <c r="R538" s="106">
        <v>536</v>
      </c>
      <c r="S538" s="15"/>
      <c r="T538" s="15"/>
      <c r="U538" s="15"/>
    </row>
    <row r="539" spans="1:21">
      <c r="A539" s="15"/>
      <c r="B539" s="15"/>
      <c r="C539" s="15"/>
      <c r="D539" s="15"/>
      <c r="E539" s="15"/>
      <c r="F539" s="15"/>
      <c r="G539" s="15"/>
      <c r="H539" s="15"/>
      <c r="J539" s="14" t="s">
        <v>136</v>
      </c>
      <c r="K539" s="105">
        <f>K538+(K538*(RATE(($R$540-$R$536),0,K$536,-K$540)))</f>
        <v>4.3350847153039895</v>
      </c>
      <c r="L539" s="15">
        <v>23.5</v>
      </c>
      <c r="M539" s="15">
        <v>5.15</v>
      </c>
      <c r="N539" s="15">
        <v>4.05</v>
      </c>
      <c r="O539" s="15">
        <v>43.91</v>
      </c>
      <c r="P539" s="15">
        <v>2.54</v>
      </c>
      <c r="Q539" s="15"/>
      <c r="R539" s="106">
        <v>537</v>
      </c>
      <c r="S539" s="15"/>
      <c r="T539" s="15"/>
      <c r="U539" s="15"/>
    </row>
    <row r="540" spans="1:21">
      <c r="A540" s="15"/>
      <c r="B540" s="15"/>
      <c r="C540" s="15"/>
      <c r="D540" s="15"/>
      <c r="E540" s="15"/>
      <c r="F540" s="15"/>
      <c r="G540" s="15"/>
      <c r="H540" s="15"/>
      <c r="J540" s="14" t="s">
        <v>192</v>
      </c>
      <c r="K540" s="15">
        <v>4.51</v>
      </c>
      <c r="L540" s="15">
        <v>23.2</v>
      </c>
      <c r="M540" s="15">
        <v>5.32</v>
      </c>
      <c r="N540" s="15">
        <v>4.5</v>
      </c>
      <c r="O540" s="15">
        <v>44.44</v>
      </c>
      <c r="P540" s="15">
        <v>2.79</v>
      </c>
      <c r="Q540" s="15"/>
      <c r="R540" s="106">
        <v>538</v>
      </c>
      <c r="S540" s="15"/>
      <c r="T540" s="15"/>
      <c r="U540" s="15"/>
    </row>
    <row r="541" spans="1:21">
      <c r="A541" s="15"/>
      <c r="B541" s="15"/>
      <c r="C541" s="15"/>
      <c r="D541" s="15"/>
      <c r="E541" s="15"/>
      <c r="F541" s="15"/>
      <c r="G541" s="15"/>
      <c r="H541" s="15"/>
      <c r="J541" s="14" t="s">
        <v>193</v>
      </c>
      <c r="K541" s="15">
        <v>4.37</v>
      </c>
      <c r="L541" s="15">
        <v>19.649999999999999</v>
      </c>
      <c r="M541" s="15">
        <v>5.15</v>
      </c>
      <c r="N541" s="15">
        <v>4.2699999999999996</v>
      </c>
      <c r="O541" s="15">
        <v>42.46</v>
      </c>
      <c r="P541" s="15">
        <v>2.64</v>
      </c>
      <c r="Q541" s="15"/>
      <c r="R541" s="106">
        <v>539</v>
      </c>
      <c r="S541" s="15"/>
      <c r="T541" s="15"/>
      <c r="U541" s="15"/>
    </row>
    <row r="542" spans="1:21">
      <c r="A542" s="15"/>
      <c r="B542" s="15"/>
      <c r="C542" s="15"/>
      <c r="D542" s="15"/>
      <c r="E542" s="15"/>
      <c r="F542" s="15"/>
      <c r="G542" s="15"/>
      <c r="H542" s="15"/>
      <c r="J542" s="14" t="s">
        <v>194</v>
      </c>
      <c r="K542" s="15">
        <v>3.94</v>
      </c>
      <c r="L542" s="15">
        <v>17.02</v>
      </c>
      <c r="M542" s="15">
        <v>4.88</v>
      </c>
      <c r="N542" s="15">
        <v>4.07</v>
      </c>
      <c r="O542" s="15">
        <v>38.81</v>
      </c>
      <c r="P542" s="15">
        <v>2.35</v>
      </c>
      <c r="Q542" s="15"/>
      <c r="R542" s="106">
        <v>540</v>
      </c>
      <c r="S542" s="15"/>
      <c r="T542" s="15"/>
      <c r="U542" s="15"/>
    </row>
    <row r="543" spans="1:21">
      <c r="A543" s="15"/>
      <c r="B543" s="15"/>
      <c r="C543" s="15"/>
      <c r="D543" s="15"/>
      <c r="E543" s="15"/>
      <c r="F543" s="15"/>
      <c r="G543" s="15"/>
      <c r="H543" s="15"/>
      <c r="I543" s="4">
        <f t="shared" ref="I543" si="149">I531+1</f>
        <v>1908</v>
      </c>
      <c r="J543" s="14" t="s">
        <v>96</v>
      </c>
      <c r="K543" s="15">
        <v>3.71</v>
      </c>
      <c r="L543" s="15">
        <v>19.55</v>
      </c>
      <c r="M543" s="15">
        <v>4.38</v>
      </c>
      <c r="N543" s="15">
        <v>3.54</v>
      </c>
      <c r="O543" s="15">
        <v>38.28</v>
      </c>
      <c r="P543" s="15">
        <v>2.29</v>
      </c>
      <c r="Q543" s="15"/>
      <c r="R543" s="106">
        <v>541</v>
      </c>
      <c r="S543" s="15"/>
      <c r="T543" s="15"/>
      <c r="U543" s="15"/>
    </row>
    <row r="544" spans="1:21">
      <c r="A544" s="15"/>
      <c r="B544" s="15"/>
      <c r="C544" s="15"/>
      <c r="D544" s="15"/>
      <c r="E544" s="15"/>
      <c r="F544" s="15"/>
      <c r="G544" s="15"/>
      <c r="H544" s="15"/>
      <c r="J544" s="14" t="s">
        <v>97</v>
      </c>
      <c r="K544" s="15">
        <v>3.65</v>
      </c>
      <c r="L544" s="15">
        <v>21.5</v>
      </c>
      <c r="M544" s="15">
        <v>4.34</v>
      </c>
      <c r="N544" s="15">
        <v>3.3</v>
      </c>
      <c r="O544" s="15">
        <v>38.83</v>
      </c>
      <c r="P544" s="15">
        <v>2.2599999999999998</v>
      </c>
      <c r="Q544" s="15"/>
      <c r="R544" s="106">
        <v>542</v>
      </c>
      <c r="S544" s="15"/>
      <c r="T544" s="15"/>
      <c r="U544" s="15"/>
    </row>
    <row r="545" spans="1:21">
      <c r="A545" s="15"/>
      <c r="B545" s="15"/>
      <c r="C545" s="15"/>
      <c r="D545" s="15"/>
      <c r="E545" s="15"/>
      <c r="F545" s="15"/>
      <c r="G545" s="15"/>
      <c r="H545" s="15"/>
      <c r="J545" s="14" t="s">
        <v>130</v>
      </c>
      <c r="K545" s="15">
        <v>3.21</v>
      </c>
      <c r="L545" s="15">
        <v>19.2</v>
      </c>
      <c r="M545" s="15">
        <v>4.3499999999999996</v>
      </c>
      <c r="N545" s="15">
        <v>3.35</v>
      </c>
      <c r="O545" s="15">
        <v>40.479999999999997</v>
      </c>
      <c r="P545" s="15">
        <v>2.16</v>
      </c>
      <c r="Q545" s="15"/>
      <c r="R545" s="106">
        <v>543</v>
      </c>
      <c r="S545" s="15"/>
      <c r="T545" s="15"/>
      <c r="U545" s="15"/>
    </row>
    <row r="546" spans="1:21">
      <c r="A546" s="15"/>
      <c r="B546" s="15"/>
      <c r="C546" s="15"/>
      <c r="D546" s="15"/>
      <c r="E546" s="15"/>
      <c r="F546" s="15"/>
      <c r="G546" s="15"/>
      <c r="H546" s="15"/>
      <c r="J546" s="14" t="s">
        <v>131</v>
      </c>
      <c r="K546" s="15">
        <v>2.58</v>
      </c>
      <c r="L546" s="105">
        <f>L545+(L545*(RATE(($R$547-$R$545),0,L$545,-L$547)))</f>
        <v>19.099738218101315</v>
      </c>
      <c r="M546" s="15">
        <v>4.47</v>
      </c>
      <c r="N546" s="15">
        <v>3.39</v>
      </c>
      <c r="O546" s="15">
        <v>42.68</v>
      </c>
      <c r="P546" s="15">
        <v>2.1800000000000002</v>
      </c>
      <c r="Q546" s="15"/>
      <c r="R546" s="106">
        <v>544</v>
      </c>
      <c r="S546" s="15"/>
      <c r="T546" s="15"/>
      <c r="U546" s="15"/>
    </row>
    <row r="547" spans="1:21">
      <c r="A547" s="15"/>
      <c r="B547" s="15"/>
      <c r="C547" s="15"/>
      <c r="D547" s="15"/>
      <c r="E547" s="15"/>
      <c r="F547" s="15"/>
      <c r="G547" s="15"/>
      <c r="H547" s="15"/>
      <c r="J547" s="14" t="s">
        <v>132</v>
      </c>
      <c r="K547" s="15">
        <v>2.39</v>
      </c>
      <c r="L547" s="15">
        <v>19</v>
      </c>
      <c r="M547" s="15">
        <v>4.57</v>
      </c>
      <c r="N547" s="15">
        <v>3.68</v>
      </c>
      <c r="O547" s="15">
        <v>44.64</v>
      </c>
      <c r="P547" s="15">
        <v>2.36</v>
      </c>
      <c r="Q547" s="15"/>
      <c r="R547" s="106">
        <v>545</v>
      </c>
      <c r="S547" s="15"/>
      <c r="T547" s="15"/>
      <c r="U547" s="15"/>
    </row>
    <row r="548" spans="1:21">
      <c r="A548" s="15"/>
      <c r="B548" s="15"/>
      <c r="C548" s="15"/>
      <c r="D548" s="15"/>
      <c r="E548" s="15"/>
      <c r="F548" s="15"/>
      <c r="G548" s="15"/>
      <c r="H548" s="15"/>
      <c r="J548" s="14" t="s">
        <v>133</v>
      </c>
      <c r="K548" s="15">
        <v>2.5</v>
      </c>
      <c r="L548" s="15">
        <v>19.899999999999999</v>
      </c>
      <c r="M548" s="15">
        <v>4.83</v>
      </c>
      <c r="N548" s="15">
        <v>3.56</v>
      </c>
      <c r="O548" s="15">
        <v>44.44</v>
      </c>
      <c r="P548" s="15">
        <v>2.37</v>
      </c>
      <c r="Q548" s="15"/>
      <c r="R548" s="106">
        <v>546</v>
      </c>
      <c r="S548" s="15"/>
      <c r="T548" s="15"/>
      <c r="U548" s="15"/>
    </row>
    <row r="549" spans="1:21">
      <c r="A549" s="15"/>
      <c r="B549" s="15"/>
      <c r="C549" s="15"/>
      <c r="D549" s="15"/>
      <c r="E549" s="15"/>
      <c r="F549" s="15"/>
      <c r="G549" s="15"/>
      <c r="H549" s="15"/>
      <c r="J549" s="14" t="s">
        <v>134</v>
      </c>
      <c r="K549" s="15">
        <v>2.72</v>
      </c>
      <c r="L549" s="15">
        <v>19.7</v>
      </c>
      <c r="M549" s="15">
        <v>4.87</v>
      </c>
      <c r="N549" s="15">
        <v>3.75</v>
      </c>
      <c r="O549" s="15">
        <v>45.76</v>
      </c>
      <c r="P549" s="15">
        <v>2.58</v>
      </c>
      <c r="Q549" s="15"/>
      <c r="R549" s="106">
        <v>547</v>
      </c>
      <c r="S549" s="15"/>
      <c r="T549" s="15"/>
      <c r="U549" s="15"/>
    </row>
    <row r="550" spans="1:21">
      <c r="A550" s="15"/>
      <c r="B550" s="15"/>
      <c r="C550" s="15"/>
      <c r="D550" s="15"/>
      <c r="E550" s="15"/>
      <c r="F550" s="15"/>
      <c r="G550" s="15"/>
      <c r="H550" s="15"/>
      <c r="J550" s="14" t="s">
        <v>135</v>
      </c>
      <c r="K550" s="15">
        <v>2.8</v>
      </c>
      <c r="L550" s="15">
        <v>20.12</v>
      </c>
      <c r="M550" s="15">
        <v>5.01</v>
      </c>
      <c r="N550" s="15">
        <v>3.87</v>
      </c>
      <c r="O550" s="15">
        <v>47.08</v>
      </c>
      <c r="P550" s="15">
        <v>2.61</v>
      </c>
      <c r="Q550" s="15"/>
      <c r="R550" s="106">
        <v>548</v>
      </c>
      <c r="S550" s="15"/>
      <c r="T550" s="15"/>
      <c r="U550" s="15"/>
    </row>
    <row r="551" spans="1:21">
      <c r="A551" s="15"/>
      <c r="B551" s="15"/>
      <c r="C551" s="15"/>
      <c r="D551" s="15"/>
      <c r="E551" s="15"/>
      <c r="F551" s="15"/>
      <c r="G551" s="15"/>
      <c r="H551" s="15"/>
      <c r="J551" s="14" t="s">
        <v>136</v>
      </c>
      <c r="K551" s="15">
        <v>2.5299999999999998</v>
      </c>
      <c r="L551" s="15">
        <v>20.059999999999999</v>
      </c>
      <c r="M551" s="15">
        <v>4.96</v>
      </c>
      <c r="N551" s="15">
        <v>3.97</v>
      </c>
      <c r="O551" s="15">
        <v>47.08</v>
      </c>
      <c r="P551" s="15">
        <v>2.64</v>
      </c>
      <c r="Q551" s="15"/>
      <c r="R551" s="106">
        <v>549</v>
      </c>
      <c r="S551" s="15"/>
      <c r="T551" s="15"/>
      <c r="U551" s="15"/>
    </row>
    <row r="552" spans="1:21">
      <c r="A552" s="15"/>
      <c r="B552" s="15"/>
      <c r="C552" s="15"/>
      <c r="D552" s="15"/>
      <c r="E552" s="15"/>
      <c r="F552" s="15"/>
      <c r="G552" s="15"/>
      <c r="H552" s="15"/>
      <c r="J552" s="14" t="s">
        <v>192</v>
      </c>
      <c r="K552" s="15">
        <v>2.83</v>
      </c>
      <c r="L552" s="15">
        <v>20.25</v>
      </c>
      <c r="M552" s="15">
        <v>4.92</v>
      </c>
      <c r="N552" s="15">
        <v>3.94</v>
      </c>
      <c r="O552" s="15">
        <v>47.63</v>
      </c>
      <c r="P552" s="15">
        <v>2.67</v>
      </c>
      <c r="Q552" s="15"/>
      <c r="R552" s="106">
        <v>550</v>
      </c>
      <c r="S552" s="15"/>
      <c r="T552" s="15"/>
      <c r="U552" s="15"/>
    </row>
    <row r="553" spans="1:21">
      <c r="A553" s="15"/>
      <c r="B553" s="15"/>
      <c r="C553" s="15"/>
      <c r="D553" s="15"/>
      <c r="E553" s="15"/>
      <c r="F553" s="15"/>
      <c r="G553" s="15"/>
      <c r="H553" s="15"/>
      <c r="J553" s="14" t="s">
        <v>193</v>
      </c>
      <c r="K553" s="15">
        <v>3.19</v>
      </c>
      <c r="L553" s="15">
        <v>21.35</v>
      </c>
      <c r="M553" s="15">
        <v>5.09</v>
      </c>
      <c r="N553" s="15">
        <v>4.0999999999999996</v>
      </c>
      <c r="O553" s="15">
        <v>43.56</v>
      </c>
      <c r="P553" s="15">
        <v>2.71</v>
      </c>
      <c r="Q553" s="15"/>
      <c r="R553" s="106">
        <v>551</v>
      </c>
      <c r="S553" s="15"/>
      <c r="T553" s="15"/>
      <c r="U553" s="15"/>
    </row>
    <row r="554" spans="1:21">
      <c r="A554" s="15"/>
      <c r="B554" s="15"/>
      <c r="C554" s="15"/>
      <c r="D554" s="15"/>
      <c r="E554" s="15"/>
      <c r="F554" s="15"/>
      <c r="G554" s="15"/>
      <c r="H554" s="15"/>
      <c r="J554" s="14" t="s">
        <v>194</v>
      </c>
      <c r="K554" s="15">
        <v>3.34</v>
      </c>
      <c r="L554" s="15">
        <v>22.39</v>
      </c>
      <c r="M554" s="105">
        <f>M553+(M553*(RATE(($R$555-$R$553),0,M$553,-M$555)))</f>
        <v>4.7965404199277115</v>
      </c>
      <c r="N554" s="105">
        <f>N553+(N553*(RATE(($R$555-$R$553),0,N$553,-N$555)))</f>
        <v>3.8525316351718968</v>
      </c>
      <c r="O554" s="15">
        <v>41.58</v>
      </c>
      <c r="P554" s="15">
        <v>2.64</v>
      </c>
      <c r="Q554" s="15"/>
      <c r="R554" s="106">
        <v>552</v>
      </c>
      <c r="S554" s="15"/>
      <c r="T554" s="15"/>
      <c r="U554" s="15"/>
    </row>
    <row r="555" spans="1:21">
      <c r="A555" s="15"/>
      <c r="B555" s="15"/>
      <c r="C555" s="15"/>
      <c r="D555" s="15"/>
      <c r="E555" s="15"/>
      <c r="F555" s="15"/>
      <c r="G555" s="15"/>
      <c r="H555" s="15"/>
      <c r="I555" s="4">
        <f t="shared" ref="I555" si="150">I543+1</f>
        <v>1909</v>
      </c>
      <c r="J555" s="14" t="s">
        <v>96</v>
      </c>
      <c r="K555" s="15">
        <v>3.46</v>
      </c>
      <c r="L555" s="15">
        <v>23.75</v>
      </c>
      <c r="M555" s="15">
        <v>4.5199999999999996</v>
      </c>
      <c r="N555" s="15">
        <v>3.62</v>
      </c>
      <c r="O555" s="15">
        <v>41.36</v>
      </c>
      <c r="P555" s="15">
        <v>2.5099999999999998</v>
      </c>
      <c r="Q555" s="15"/>
      <c r="R555" s="106">
        <v>553</v>
      </c>
      <c r="S555" s="15"/>
      <c r="T555" s="15"/>
      <c r="U555" s="15"/>
    </row>
    <row r="556" spans="1:21">
      <c r="A556" s="15"/>
      <c r="B556" s="15"/>
      <c r="C556" s="15"/>
      <c r="D556" s="15"/>
      <c r="E556" s="15"/>
      <c r="F556" s="15"/>
      <c r="G556" s="15"/>
      <c r="H556" s="15"/>
      <c r="J556" s="14" t="s">
        <v>97</v>
      </c>
      <c r="K556" s="15">
        <v>3.58</v>
      </c>
      <c r="L556" s="15">
        <v>23.6</v>
      </c>
      <c r="M556" s="15">
        <v>4.53</v>
      </c>
      <c r="N556" s="15">
        <v>3.81</v>
      </c>
      <c r="O556" s="15">
        <v>42.24</v>
      </c>
      <c r="P556" s="15">
        <v>2.27</v>
      </c>
      <c r="Q556" s="15"/>
      <c r="R556" s="106">
        <v>554</v>
      </c>
      <c r="S556" s="15"/>
      <c r="T556" s="15"/>
      <c r="U556" s="15"/>
    </row>
    <row r="557" spans="1:21">
      <c r="A557" s="15"/>
      <c r="B557" s="15"/>
      <c r="C557" s="15"/>
      <c r="D557" s="15"/>
      <c r="E557" s="15"/>
      <c r="F557" s="15"/>
      <c r="G557" s="15"/>
      <c r="H557" s="15"/>
      <c r="J557" s="14" t="s">
        <v>130</v>
      </c>
      <c r="K557" s="15">
        <v>3.52</v>
      </c>
      <c r="L557" s="15">
        <v>25.35</v>
      </c>
      <c r="M557" s="15">
        <v>4.58</v>
      </c>
      <c r="N557" s="15">
        <v>4.12</v>
      </c>
      <c r="O557" s="15">
        <v>42.9</v>
      </c>
      <c r="P557" s="15">
        <v>2.38</v>
      </c>
      <c r="Q557" s="15"/>
      <c r="R557" s="106">
        <v>555</v>
      </c>
      <c r="S557" s="15"/>
      <c r="T557" s="15"/>
      <c r="U557" s="15"/>
    </row>
    <row r="558" spans="1:21">
      <c r="A558" s="15"/>
      <c r="B558" s="15"/>
      <c r="C558" s="15"/>
      <c r="D558" s="15"/>
      <c r="E558" s="15"/>
      <c r="F558" s="15"/>
      <c r="G558" s="15"/>
      <c r="H558" s="15"/>
      <c r="J558" s="14" t="s">
        <v>131</v>
      </c>
      <c r="K558" s="15">
        <v>3.52</v>
      </c>
      <c r="L558" s="15">
        <v>27.3</v>
      </c>
      <c r="M558" s="15">
        <v>4.88</v>
      </c>
      <c r="N558" s="15">
        <v>4.4320000000000004</v>
      </c>
      <c r="O558" s="15">
        <v>44.22</v>
      </c>
      <c r="P558" s="15">
        <v>2.57</v>
      </c>
      <c r="Q558" s="15"/>
      <c r="R558" s="106">
        <v>556</v>
      </c>
      <c r="S558" s="15"/>
      <c r="T558" s="15"/>
      <c r="U558" s="15"/>
    </row>
    <row r="559" spans="1:21">
      <c r="A559" s="15"/>
      <c r="B559" s="15"/>
      <c r="C559" s="15"/>
      <c r="D559" s="15"/>
      <c r="E559" s="15"/>
      <c r="F559" s="15"/>
      <c r="G559" s="15"/>
      <c r="H559" s="15"/>
      <c r="J559" s="14" t="s">
        <v>132</v>
      </c>
      <c r="K559" s="15">
        <v>3.63</v>
      </c>
      <c r="L559" s="15">
        <v>28.000000000000004</v>
      </c>
      <c r="M559" s="15">
        <v>5</v>
      </c>
      <c r="N559" s="15">
        <v>4.49</v>
      </c>
      <c r="O559" s="15">
        <v>45.32</v>
      </c>
      <c r="P559" s="15">
        <v>2.5499999999999998</v>
      </c>
      <c r="Q559" s="15"/>
      <c r="R559" s="106">
        <v>557</v>
      </c>
      <c r="S559" s="15"/>
      <c r="T559" s="15"/>
      <c r="U559" s="15"/>
    </row>
    <row r="560" spans="1:21">
      <c r="A560" s="15"/>
      <c r="B560" s="15"/>
      <c r="C560" s="15"/>
      <c r="D560" s="15"/>
      <c r="E560" s="15"/>
      <c r="F560" s="15"/>
      <c r="G560" s="15"/>
      <c r="H560" s="15"/>
      <c r="J560" s="14" t="s">
        <v>133</v>
      </c>
      <c r="K560" s="15">
        <v>3.63</v>
      </c>
      <c r="L560" s="15">
        <v>27.699999999999996</v>
      </c>
      <c r="M560" s="15">
        <v>5.19</v>
      </c>
      <c r="N560" s="15">
        <v>4.51</v>
      </c>
      <c r="O560" s="15">
        <v>46.2</v>
      </c>
      <c r="P560" s="15">
        <v>2.5499999999999998</v>
      </c>
      <c r="Q560" s="15"/>
      <c r="R560" s="106">
        <v>558</v>
      </c>
      <c r="S560" s="15"/>
      <c r="T560" s="15"/>
      <c r="U560" s="15"/>
    </row>
    <row r="561" spans="1:21">
      <c r="A561" s="15"/>
      <c r="B561" s="15"/>
      <c r="C561" s="15"/>
      <c r="D561" s="15"/>
      <c r="E561" s="15"/>
      <c r="F561" s="15"/>
      <c r="G561" s="15"/>
      <c r="H561" s="15"/>
      <c r="J561" s="14" t="s">
        <v>134</v>
      </c>
      <c r="K561" s="15">
        <v>3.63</v>
      </c>
      <c r="L561" s="15">
        <v>27.149999999999995</v>
      </c>
      <c r="M561" s="15">
        <v>5.5</v>
      </c>
      <c r="N561" s="15">
        <v>4.74</v>
      </c>
      <c r="O561" s="15">
        <v>47.74</v>
      </c>
      <c r="P561" s="15">
        <v>2.59</v>
      </c>
      <c r="Q561" s="15"/>
      <c r="R561" s="106">
        <v>559</v>
      </c>
      <c r="S561" s="15"/>
      <c r="T561" s="15"/>
      <c r="U561" s="15"/>
    </row>
    <row r="562" spans="1:21">
      <c r="A562" s="15"/>
      <c r="B562" s="15"/>
      <c r="C562" s="15"/>
      <c r="D562" s="15"/>
      <c r="E562" s="15"/>
      <c r="F562" s="15"/>
      <c r="G562" s="15"/>
      <c r="H562" s="15"/>
      <c r="J562" s="14" t="s">
        <v>135</v>
      </c>
      <c r="K562" s="15">
        <v>3.81</v>
      </c>
      <c r="L562" s="15">
        <v>28.000000000000004</v>
      </c>
      <c r="M562" s="15">
        <v>5.46</v>
      </c>
      <c r="N562" s="15">
        <v>4.5</v>
      </c>
      <c r="O562" s="15">
        <v>47.08</v>
      </c>
      <c r="P562" s="15">
        <v>2.59</v>
      </c>
      <c r="Q562" s="15"/>
      <c r="R562" s="106">
        <v>560</v>
      </c>
      <c r="S562" s="15"/>
      <c r="T562" s="15"/>
      <c r="U562" s="15"/>
    </row>
    <row r="563" spans="1:21">
      <c r="A563" s="15"/>
      <c r="B563" s="15"/>
      <c r="C563" s="15"/>
      <c r="D563" s="15"/>
      <c r="E563" s="15"/>
      <c r="F563" s="15"/>
      <c r="G563" s="15"/>
      <c r="H563" s="15"/>
      <c r="J563" s="14" t="s">
        <v>136</v>
      </c>
      <c r="K563" s="15">
        <v>4.4000000000000004</v>
      </c>
      <c r="L563" s="15">
        <v>28.999999999999996</v>
      </c>
      <c r="M563" s="15">
        <v>5.68</v>
      </c>
      <c r="N563" s="15">
        <v>4.4000000000000004</v>
      </c>
      <c r="O563" s="15">
        <v>49.32</v>
      </c>
      <c r="P563" s="15">
        <v>2.62</v>
      </c>
      <c r="Q563" s="15"/>
      <c r="R563" s="106">
        <v>561</v>
      </c>
      <c r="S563" s="15"/>
      <c r="T563" s="15"/>
      <c r="U563" s="15"/>
    </row>
    <row r="564" spans="1:21">
      <c r="A564" s="15"/>
      <c r="B564" s="15"/>
      <c r="C564" s="15"/>
      <c r="D564" s="15"/>
      <c r="E564" s="15"/>
      <c r="F564" s="15"/>
      <c r="G564" s="15"/>
      <c r="H564" s="15"/>
      <c r="J564" s="14" t="s">
        <v>192</v>
      </c>
      <c r="K564" s="15">
        <v>4.53</v>
      </c>
      <c r="L564" s="15">
        <v>29.600000000000005</v>
      </c>
      <c r="M564" s="15">
        <v>6.07</v>
      </c>
      <c r="N564" s="15">
        <v>4.43</v>
      </c>
      <c r="O564" s="15">
        <v>55</v>
      </c>
      <c r="P564" s="15">
        <v>2.59</v>
      </c>
      <c r="Q564" s="15"/>
      <c r="R564" s="106">
        <v>562</v>
      </c>
      <c r="S564" s="15"/>
      <c r="T564" s="15"/>
      <c r="U564" s="15"/>
    </row>
    <row r="565" spans="1:21">
      <c r="A565" s="15"/>
      <c r="B565" s="15"/>
      <c r="C565" s="15"/>
      <c r="D565" s="15"/>
      <c r="E565" s="15"/>
      <c r="F565" s="15"/>
      <c r="G565" s="15"/>
      <c r="H565" s="15"/>
      <c r="J565" s="14" t="s">
        <v>193</v>
      </c>
      <c r="K565" s="15">
        <v>4.42</v>
      </c>
      <c r="L565" s="15">
        <v>30.25</v>
      </c>
      <c r="M565" s="15">
        <v>6.67</v>
      </c>
      <c r="N565" s="105">
        <f>N564+(N564*(RATE(($R$567-$R$564),0,N$564,-N$567)))</f>
        <v>4.3311437472008283</v>
      </c>
      <c r="O565" s="15">
        <v>53.9</v>
      </c>
      <c r="P565" s="15">
        <v>2.62</v>
      </c>
      <c r="Q565" s="15"/>
      <c r="R565" s="106">
        <v>563</v>
      </c>
      <c r="S565" s="15"/>
      <c r="T565" s="15"/>
      <c r="U565" s="15"/>
    </row>
    <row r="566" spans="1:21">
      <c r="A566" s="15"/>
      <c r="B566" s="15"/>
      <c r="C566" s="15"/>
      <c r="D566" s="15"/>
      <c r="E566" s="15"/>
      <c r="F566" s="15"/>
      <c r="G566" s="15"/>
      <c r="H566" s="15"/>
      <c r="J566" s="14" t="s">
        <v>194</v>
      </c>
      <c r="K566" s="15">
        <v>4.4000000000000004</v>
      </c>
      <c r="L566" s="15">
        <v>30.5</v>
      </c>
      <c r="M566" s="15">
        <v>5.79</v>
      </c>
      <c r="N566" s="105">
        <f>N565+(N565*(RATE(($R$567-$R$564),0,N$564,-N$567)))</f>
        <v>4.2344934895974795</v>
      </c>
      <c r="O566" s="15">
        <v>48.84</v>
      </c>
      <c r="P566" s="15">
        <v>2.64</v>
      </c>
      <c r="Q566" s="15"/>
      <c r="R566" s="106">
        <v>564</v>
      </c>
      <c r="S566" s="15"/>
      <c r="T566" s="15"/>
      <c r="U566" s="15"/>
    </row>
    <row r="567" spans="1:21">
      <c r="A567" s="15"/>
      <c r="B567" s="15"/>
      <c r="C567" s="15"/>
      <c r="D567" s="15"/>
      <c r="E567" s="15"/>
      <c r="F567" s="15"/>
      <c r="G567" s="15"/>
      <c r="H567" s="15"/>
      <c r="I567" s="4">
        <f t="shared" ref="I567" si="151">I555+1</f>
        <v>1910</v>
      </c>
      <c r="J567" s="14" t="s">
        <v>96</v>
      </c>
      <c r="K567" s="15">
        <v>4.46</v>
      </c>
      <c r="L567" s="15">
        <v>31.5</v>
      </c>
      <c r="M567" s="15">
        <v>6.62</v>
      </c>
      <c r="N567" s="15">
        <v>4.1399999999999997</v>
      </c>
      <c r="O567" s="15">
        <v>45.32</v>
      </c>
      <c r="P567" s="15">
        <v>2.74</v>
      </c>
      <c r="Q567" s="15"/>
      <c r="R567" s="106">
        <v>565</v>
      </c>
      <c r="S567" s="15"/>
      <c r="T567" s="15"/>
      <c r="U567" s="15"/>
    </row>
    <row r="568" spans="1:21">
      <c r="A568" s="15"/>
      <c r="B568" s="15"/>
      <c r="C568" s="15"/>
      <c r="D568" s="15"/>
      <c r="E568" s="15"/>
      <c r="F568" s="15"/>
      <c r="G568" s="15"/>
      <c r="H568" s="15"/>
      <c r="J568" s="14" t="s">
        <v>97</v>
      </c>
      <c r="K568" s="15">
        <v>4.53</v>
      </c>
      <c r="L568" s="15">
        <v>32.4</v>
      </c>
      <c r="M568" s="15">
        <v>6.78</v>
      </c>
      <c r="N568" s="15">
        <v>4.18</v>
      </c>
      <c r="O568" s="15">
        <v>52.8</v>
      </c>
      <c r="P568" s="15">
        <v>2.84</v>
      </c>
      <c r="Q568" s="15"/>
      <c r="R568" s="106">
        <v>566</v>
      </c>
      <c r="S568" s="15"/>
      <c r="T568" s="15"/>
      <c r="U568" s="15"/>
    </row>
    <row r="569" spans="1:21">
      <c r="A569" s="15"/>
      <c r="B569" s="15"/>
      <c r="C569" s="15"/>
      <c r="D569" s="15"/>
      <c r="E569" s="15"/>
      <c r="F569" s="15"/>
      <c r="G569" s="15"/>
      <c r="H569" s="15"/>
      <c r="J569" s="14" t="s">
        <v>130</v>
      </c>
      <c r="K569" s="15">
        <v>4.53</v>
      </c>
      <c r="L569" s="15">
        <v>33</v>
      </c>
      <c r="M569" s="15">
        <v>6.97</v>
      </c>
      <c r="N569" s="15">
        <v>4.0199999999999996</v>
      </c>
      <c r="O569" s="15">
        <v>52.8</v>
      </c>
      <c r="P569" s="15">
        <v>2.73</v>
      </c>
      <c r="Q569" s="15"/>
      <c r="R569" s="106">
        <v>567</v>
      </c>
      <c r="S569" s="15"/>
      <c r="T569" s="15"/>
      <c r="U569" s="15"/>
    </row>
    <row r="570" spans="1:21">
      <c r="A570" s="15"/>
      <c r="B570" s="15"/>
      <c r="C570" s="15"/>
      <c r="D570" s="15"/>
      <c r="E570" s="15"/>
      <c r="F570" s="15"/>
      <c r="G570" s="15"/>
      <c r="H570" s="15"/>
      <c r="J570" s="14" t="s">
        <v>131</v>
      </c>
      <c r="K570" s="15">
        <v>4.4000000000000004</v>
      </c>
      <c r="L570" s="15">
        <v>31</v>
      </c>
      <c r="M570" s="15">
        <v>7.63</v>
      </c>
      <c r="N570" s="15">
        <v>4.05</v>
      </c>
      <c r="O570" s="15">
        <v>53.9</v>
      </c>
      <c r="P570" s="15">
        <v>2.68</v>
      </c>
      <c r="Q570" s="15"/>
      <c r="R570" s="106">
        <v>568</v>
      </c>
      <c r="S570" s="15"/>
      <c r="T570" s="15"/>
      <c r="U570" s="15"/>
    </row>
    <row r="571" spans="1:21">
      <c r="A571" s="15"/>
      <c r="B571" s="15"/>
      <c r="C571" s="15"/>
      <c r="D571" s="15"/>
      <c r="E571" s="15"/>
      <c r="F571" s="15"/>
      <c r="G571" s="15"/>
      <c r="H571" s="15"/>
      <c r="J571" s="14" t="s">
        <v>132</v>
      </c>
      <c r="K571" s="15">
        <v>4.4000000000000004</v>
      </c>
      <c r="L571" s="15">
        <v>30.5</v>
      </c>
      <c r="M571" s="15">
        <v>7.09</v>
      </c>
      <c r="N571" s="15">
        <v>3.76</v>
      </c>
      <c r="O571" s="15">
        <v>55</v>
      </c>
      <c r="P571" s="15">
        <v>2.5499999999999998</v>
      </c>
      <c r="Q571" s="15"/>
      <c r="R571" s="106">
        <v>569</v>
      </c>
      <c r="S571" s="15"/>
      <c r="T571" s="15"/>
      <c r="U571" s="15"/>
    </row>
    <row r="572" spans="1:21">
      <c r="A572" s="15"/>
      <c r="B572" s="15"/>
      <c r="C572" s="15"/>
      <c r="D572" s="15"/>
      <c r="E572" s="15"/>
      <c r="F572" s="15"/>
      <c r="G572" s="15"/>
      <c r="H572" s="15"/>
      <c r="J572" s="14" t="s">
        <v>133</v>
      </c>
      <c r="K572" s="105">
        <f t="shared" ref="K572:K575" si="152">K571+(K571*(RATE(($R$576-$R$571),0,K$571,-K$576)))</f>
        <v>4.4256980641953581</v>
      </c>
      <c r="L572" s="15">
        <v>28.4</v>
      </c>
      <c r="M572" s="15">
        <v>6.77</v>
      </c>
      <c r="N572" s="15">
        <v>3.39</v>
      </c>
      <c r="O572" s="15">
        <v>50.16</v>
      </c>
      <c r="P572" s="15">
        <v>2.0299999999999998</v>
      </c>
      <c r="Q572" s="15"/>
      <c r="R572" s="106">
        <v>570</v>
      </c>
      <c r="S572" s="15"/>
      <c r="T572" s="15"/>
      <c r="U572" s="15"/>
    </row>
    <row r="573" spans="1:21">
      <c r="A573" s="15"/>
      <c r="B573" s="15"/>
      <c r="C573" s="15"/>
      <c r="D573" s="15"/>
      <c r="E573" s="15"/>
      <c r="F573" s="15"/>
      <c r="G573" s="15"/>
      <c r="H573" s="15"/>
      <c r="J573" s="14" t="s">
        <v>134</v>
      </c>
      <c r="K573" s="105">
        <f t="shared" si="152"/>
        <v>4.4515462171414857</v>
      </c>
      <c r="L573" s="15">
        <v>27.500000000000004</v>
      </c>
      <c r="M573" s="15">
        <v>7.26</v>
      </c>
      <c r="N573" s="15">
        <v>3.69</v>
      </c>
      <c r="O573" s="15">
        <v>51.92</v>
      </c>
      <c r="P573" s="15">
        <v>2.0499999999999998</v>
      </c>
      <c r="Q573" s="15"/>
      <c r="R573" s="106">
        <v>571</v>
      </c>
      <c r="S573" s="15"/>
      <c r="T573" s="15"/>
      <c r="U573" s="15"/>
    </row>
    <row r="574" spans="1:21">
      <c r="A574" s="15"/>
      <c r="B574" s="15"/>
      <c r="C574" s="15"/>
      <c r="D574" s="15"/>
      <c r="E574" s="15"/>
      <c r="F574" s="15"/>
      <c r="G574" s="15"/>
      <c r="H574" s="15"/>
      <c r="J574" s="14" t="s">
        <v>135</v>
      </c>
      <c r="K574" s="105">
        <f>K573+(K573*(RATE(($R$576-$R$571),0,K$571,-K$576)))</f>
        <v>4.4775453354270995</v>
      </c>
      <c r="L574" s="15">
        <v>27.250000000000004</v>
      </c>
      <c r="M574" s="15">
        <v>7.88</v>
      </c>
      <c r="N574" s="15">
        <v>3.88</v>
      </c>
      <c r="O574" s="15">
        <v>56.32</v>
      </c>
      <c r="P574" s="15">
        <v>2.2000000000000002</v>
      </c>
      <c r="Q574" s="15"/>
      <c r="R574" s="106">
        <v>572</v>
      </c>
      <c r="S574" s="15"/>
      <c r="T574" s="15"/>
      <c r="U574" s="15"/>
    </row>
    <row r="575" spans="1:21">
      <c r="A575" s="15"/>
      <c r="B575" s="15"/>
      <c r="C575" s="15"/>
      <c r="D575" s="15"/>
      <c r="E575" s="15"/>
      <c r="F575" s="15"/>
      <c r="G575" s="15"/>
      <c r="H575" s="15"/>
      <c r="J575" s="14" t="s">
        <v>136</v>
      </c>
      <c r="K575" s="105">
        <f t="shared" si="152"/>
        <v>4.5036963007606063</v>
      </c>
      <c r="L575" s="15">
        <v>27.250000000000004</v>
      </c>
      <c r="M575" s="15">
        <v>8.7799999999999994</v>
      </c>
      <c r="N575" s="15">
        <v>3.83</v>
      </c>
      <c r="O575" s="15">
        <v>57.2</v>
      </c>
      <c r="P575" s="15">
        <v>2.15</v>
      </c>
      <c r="Q575" s="15"/>
      <c r="R575" s="106">
        <v>573</v>
      </c>
      <c r="S575" s="15"/>
      <c r="T575" s="15"/>
      <c r="U575" s="15"/>
    </row>
    <row r="576" spans="1:21">
      <c r="A576" s="15"/>
      <c r="B576" s="15"/>
      <c r="C576" s="15"/>
      <c r="D576" s="15"/>
      <c r="E576" s="15"/>
      <c r="F576" s="15"/>
      <c r="G576" s="15"/>
      <c r="H576" s="15"/>
      <c r="J576" s="14" t="s">
        <v>192</v>
      </c>
      <c r="K576" s="15">
        <v>4.53</v>
      </c>
      <c r="L576" s="15">
        <v>28.000000000000004</v>
      </c>
      <c r="M576" s="15">
        <v>8.68</v>
      </c>
      <c r="N576" s="15">
        <v>3.65</v>
      </c>
      <c r="O576" s="15">
        <v>58.96</v>
      </c>
      <c r="P576" s="15">
        <v>2.09</v>
      </c>
      <c r="Q576" s="15"/>
      <c r="R576" s="106">
        <v>574</v>
      </c>
      <c r="S576" s="15"/>
      <c r="T576" s="15"/>
      <c r="U576" s="15"/>
    </row>
    <row r="577" spans="1:21">
      <c r="A577" s="15"/>
      <c r="B577" s="15"/>
      <c r="C577" s="15"/>
      <c r="D577" s="15"/>
      <c r="E577" s="15"/>
      <c r="F577" s="15"/>
      <c r="G577" s="15"/>
      <c r="H577" s="15"/>
      <c r="J577" s="14" t="s">
        <v>193</v>
      </c>
      <c r="K577" s="15">
        <v>4.53</v>
      </c>
      <c r="L577" s="15">
        <v>28.749999999999996</v>
      </c>
      <c r="M577" s="15">
        <v>8.2899999999999991</v>
      </c>
      <c r="N577" s="15">
        <v>3.49</v>
      </c>
      <c r="O577" s="15">
        <v>59.84</v>
      </c>
      <c r="P577" s="15">
        <v>2.04</v>
      </c>
      <c r="Q577" s="15"/>
      <c r="R577" s="106">
        <v>575</v>
      </c>
      <c r="S577" s="15"/>
      <c r="T577" s="15"/>
      <c r="U577" s="15"/>
    </row>
    <row r="578" spans="1:21">
      <c r="A578" s="15"/>
      <c r="B578" s="15"/>
      <c r="C578" s="15"/>
      <c r="D578" s="15"/>
      <c r="E578" s="15"/>
      <c r="F578" s="15"/>
      <c r="G578" s="15"/>
      <c r="H578" s="15"/>
      <c r="J578" s="14" t="s">
        <v>194</v>
      </c>
      <c r="K578" s="15">
        <v>4.45</v>
      </c>
      <c r="L578" s="15">
        <v>28.800000000000004</v>
      </c>
      <c r="M578" s="15">
        <v>7.61</v>
      </c>
      <c r="N578" s="15">
        <v>3.56</v>
      </c>
      <c r="O578" s="15">
        <v>49.28</v>
      </c>
      <c r="P578" s="15">
        <v>2.12</v>
      </c>
      <c r="Q578" s="15"/>
      <c r="R578" s="106">
        <v>576</v>
      </c>
      <c r="S578" s="15"/>
      <c r="T578" s="15"/>
      <c r="U578" s="15"/>
    </row>
    <row r="579" spans="1:21">
      <c r="A579" s="15"/>
      <c r="B579" s="15"/>
      <c r="C579" s="15"/>
      <c r="D579" s="15"/>
      <c r="E579" s="15"/>
      <c r="F579" s="15"/>
      <c r="G579" s="15"/>
      <c r="H579" s="15"/>
      <c r="I579" s="4">
        <f t="shared" ref="I579" si="153">I567+1</f>
        <v>1911</v>
      </c>
      <c r="J579" s="14" t="s">
        <v>108</v>
      </c>
      <c r="K579" s="15">
        <v>4.09</v>
      </c>
      <c r="L579" s="15">
        <v>28.800000000000004</v>
      </c>
      <c r="M579" s="15">
        <v>8.18</v>
      </c>
      <c r="N579" s="15">
        <v>3.56</v>
      </c>
      <c r="O579" s="15">
        <v>45.58</v>
      </c>
      <c r="P579" s="15">
        <v>2.2799999999999998</v>
      </c>
      <c r="Q579" s="15"/>
      <c r="R579" s="106">
        <v>577</v>
      </c>
      <c r="S579" s="15"/>
      <c r="T579" s="15"/>
      <c r="U579" s="15"/>
    </row>
    <row r="580" spans="1:21">
      <c r="A580" s="15"/>
      <c r="B580" s="15"/>
      <c r="C580" s="15"/>
      <c r="D580" s="15"/>
      <c r="E580" s="15"/>
      <c r="F580" s="15"/>
      <c r="G580" s="15"/>
      <c r="H580" s="15"/>
      <c r="J580" s="14" t="s">
        <v>109</v>
      </c>
      <c r="K580" s="15">
        <v>4.07</v>
      </c>
      <c r="L580" s="15">
        <v>28.999999999999996</v>
      </c>
      <c r="M580" s="15">
        <v>8.67</v>
      </c>
      <c r="N580" s="15">
        <v>3.48</v>
      </c>
      <c r="O580" s="15">
        <v>46.2</v>
      </c>
      <c r="P580" s="105">
        <f t="shared" ref="P580:P593" si="154">P579+(P579*(RATE(($R$594-$R$579),0,P$579,-P$594)))</f>
        <v>2.2858922063771252</v>
      </c>
      <c r="Q580" s="15"/>
      <c r="R580" s="106">
        <v>578</v>
      </c>
      <c r="S580" s="15"/>
      <c r="T580" s="15"/>
      <c r="U580" s="15"/>
    </row>
    <row r="581" spans="1:21">
      <c r="A581" s="15"/>
      <c r="B581" s="15"/>
      <c r="C581" s="15"/>
      <c r="D581" s="15"/>
      <c r="E581" s="15"/>
      <c r="F581" s="15"/>
      <c r="G581" s="15"/>
      <c r="H581" s="15"/>
      <c r="J581" s="14" t="s">
        <v>130</v>
      </c>
      <c r="K581" s="15">
        <v>4.07</v>
      </c>
      <c r="L581" s="15">
        <v>28.499999999999996</v>
      </c>
      <c r="M581" s="15">
        <v>8.18</v>
      </c>
      <c r="N581" s="15">
        <v>3.21</v>
      </c>
      <c r="O581" s="15">
        <v>51.7</v>
      </c>
      <c r="P581" s="105">
        <f t="shared" si="154"/>
        <v>2.2917996399893341</v>
      </c>
      <c r="Q581" s="15"/>
      <c r="R581" s="106">
        <v>579</v>
      </c>
      <c r="S581" s="15"/>
      <c r="T581" s="15"/>
      <c r="U581" s="15"/>
    </row>
    <row r="582" spans="1:21">
      <c r="A582" s="15"/>
      <c r="B582" s="15"/>
      <c r="C582" s="15"/>
      <c r="D582" s="15"/>
      <c r="E582" s="15"/>
      <c r="F582" s="15"/>
      <c r="G582" s="15"/>
      <c r="H582" s="15"/>
      <c r="J582" s="14" t="s">
        <v>131</v>
      </c>
      <c r="K582" s="15">
        <v>4.07</v>
      </c>
      <c r="L582" s="15">
        <v>28.000000000000004</v>
      </c>
      <c r="M582" s="15">
        <v>7.79</v>
      </c>
      <c r="N582" s="15">
        <v>3.34</v>
      </c>
      <c r="O582" s="15">
        <v>51.7</v>
      </c>
      <c r="P582" s="105">
        <f t="shared" si="154"/>
        <v>2.2977223401883862</v>
      </c>
      <c r="Q582" s="15"/>
      <c r="R582" s="106">
        <v>580</v>
      </c>
      <c r="S582" s="15"/>
      <c r="T582" s="15"/>
      <c r="U582" s="15"/>
    </row>
    <row r="583" spans="1:21">
      <c r="A583" s="15"/>
      <c r="B583" s="15"/>
      <c r="C583" s="15"/>
      <c r="D583" s="15"/>
      <c r="E583" s="15"/>
      <c r="F583" s="15"/>
      <c r="G583" s="15"/>
      <c r="H583" s="15"/>
      <c r="J583" s="14" t="s">
        <v>132</v>
      </c>
      <c r="K583" s="15">
        <v>4.07</v>
      </c>
      <c r="L583" s="15">
        <v>27.500000000000004</v>
      </c>
      <c r="M583" s="15">
        <v>7.96</v>
      </c>
      <c r="N583" s="15">
        <v>3.52</v>
      </c>
      <c r="O583" s="15">
        <v>51.7</v>
      </c>
      <c r="P583" s="105">
        <f t="shared" si="154"/>
        <v>2.3036603464277374</v>
      </c>
      <c r="Q583" s="15"/>
      <c r="R583" s="106">
        <v>581</v>
      </c>
      <c r="S583" s="15"/>
      <c r="T583" s="15"/>
      <c r="U583" s="15"/>
    </row>
    <row r="584" spans="1:21">
      <c r="A584" s="15"/>
      <c r="B584" s="15"/>
      <c r="C584" s="15"/>
      <c r="D584" s="15"/>
      <c r="E584" s="15"/>
      <c r="F584" s="15"/>
      <c r="G584" s="15"/>
      <c r="H584" s="15"/>
      <c r="J584" s="14" t="s">
        <v>133</v>
      </c>
      <c r="K584" s="105">
        <f t="shared" ref="K584:K588" si="155">K583+(K583*(RATE(($R$589-$R$583),0,K$583,-K$589)))</f>
        <v>4.0237032189606863</v>
      </c>
      <c r="L584" s="15">
        <v>28.249999999999996</v>
      </c>
      <c r="M584" s="15">
        <v>7.66</v>
      </c>
      <c r="N584" s="15">
        <v>3.5</v>
      </c>
      <c r="O584" s="15">
        <v>53.35</v>
      </c>
      <c r="P584" s="105">
        <f t="shared" si="154"/>
        <v>2.3096136982628042</v>
      </c>
      <c r="Q584" s="15"/>
      <c r="R584" s="106">
        <v>582</v>
      </c>
      <c r="S584" s="15"/>
      <c r="T584" s="15"/>
      <c r="U584" s="15"/>
    </row>
    <row r="585" spans="1:21">
      <c r="A585" s="15"/>
      <c r="B585" s="15"/>
      <c r="C585" s="15"/>
      <c r="D585" s="15"/>
      <c r="E585" s="15"/>
      <c r="F585" s="15"/>
      <c r="G585" s="15"/>
      <c r="H585" s="15"/>
      <c r="J585" s="14" t="s">
        <v>134</v>
      </c>
      <c r="K585" s="105">
        <f t="shared" si="155"/>
        <v>3.977933069846336</v>
      </c>
      <c r="L585" s="15">
        <v>29.100000000000005</v>
      </c>
      <c r="M585" s="15">
        <v>7.72</v>
      </c>
      <c r="N585" s="15">
        <v>3.55</v>
      </c>
      <c r="O585" s="15">
        <v>53.9</v>
      </c>
      <c r="P585" s="105">
        <f t="shared" si="154"/>
        <v>2.3155824353512253</v>
      </c>
      <c r="Q585" s="15"/>
      <c r="R585" s="106">
        <v>583</v>
      </c>
      <c r="S585" s="15"/>
      <c r="T585" s="15"/>
      <c r="U585" s="15"/>
    </row>
    <row r="586" spans="1:21">
      <c r="A586" s="15"/>
      <c r="B586" s="15"/>
      <c r="C586" s="15"/>
      <c r="D586" s="15"/>
      <c r="E586" s="15"/>
      <c r="F586" s="15"/>
      <c r="G586" s="15"/>
      <c r="H586" s="15"/>
      <c r="J586" s="14" t="s">
        <v>135</v>
      </c>
      <c r="K586" s="105">
        <f t="shared" si="155"/>
        <v>3.93268356215009</v>
      </c>
      <c r="L586" s="15">
        <v>27.500000000000004</v>
      </c>
      <c r="M586" s="15">
        <v>7.85</v>
      </c>
      <c r="N586" s="15">
        <v>3.78</v>
      </c>
      <c r="O586" s="15">
        <v>54.73</v>
      </c>
      <c r="P586" s="105">
        <f t="shared" si="154"/>
        <v>2.3215665974531268</v>
      </c>
      <c r="Q586" s="15"/>
      <c r="R586" s="106">
        <v>584</v>
      </c>
      <c r="S586" s="15"/>
      <c r="T586" s="15"/>
      <c r="U586" s="15"/>
    </row>
    <row r="587" spans="1:21">
      <c r="A587" s="15"/>
      <c r="B587" s="15"/>
      <c r="C587" s="15"/>
      <c r="D587" s="15"/>
      <c r="E587" s="15"/>
      <c r="F587" s="15"/>
      <c r="G587" s="15"/>
      <c r="H587" s="15"/>
      <c r="J587" s="14" t="s">
        <v>136</v>
      </c>
      <c r="K587" s="105">
        <f>K586+(K586*(RATE(($R$589-$R$583),0,K$583,-K$589)))</f>
        <v>3.8879487735078855</v>
      </c>
      <c r="L587" s="15">
        <v>26.6</v>
      </c>
      <c r="M587" s="15">
        <v>8.25</v>
      </c>
      <c r="N587" s="15">
        <v>4.07</v>
      </c>
      <c r="O587" s="15">
        <v>57.2</v>
      </c>
      <c r="P587" s="105">
        <f>P586+(P586*(RATE(($R$594-$R$579),0,P$579,-P$594)))</f>
        <v>2.3275662244313873</v>
      </c>
      <c r="Q587" s="15"/>
      <c r="R587" s="106">
        <v>585</v>
      </c>
      <c r="S587" s="15"/>
      <c r="T587" s="15"/>
      <c r="U587" s="15"/>
    </row>
    <row r="588" spans="1:21">
      <c r="A588" s="15"/>
      <c r="B588" s="15"/>
      <c r="C588" s="15"/>
      <c r="D588" s="15"/>
      <c r="E588" s="15"/>
      <c r="F588" s="15"/>
      <c r="G588" s="15"/>
      <c r="H588" s="15"/>
      <c r="J588" s="14" t="s">
        <v>192</v>
      </c>
      <c r="K588" s="105">
        <f t="shared" si="155"/>
        <v>3.8437228489233246</v>
      </c>
      <c r="L588" s="15">
        <v>27.1</v>
      </c>
      <c r="M588" s="15">
        <v>8.01</v>
      </c>
      <c r="N588" s="15">
        <v>4.05</v>
      </c>
      <c r="O588" s="15">
        <v>57.2</v>
      </c>
      <c r="P588" s="105">
        <f t="shared" si="154"/>
        <v>2.3335813562519032</v>
      </c>
      <c r="Q588" s="15"/>
      <c r="R588" s="106">
        <v>586</v>
      </c>
      <c r="S588" s="15"/>
      <c r="T588" s="15"/>
      <c r="U588" s="15"/>
    </row>
    <row r="589" spans="1:21">
      <c r="A589" s="15"/>
      <c r="B589" s="15"/>
      <c r="C589" s="15"/>
      <c r="D589" s="15"/>
      <c r="E589" s="15"/>
      <c r="F589" s="15"/>
      <c r="G589" s="15"/>
      <c r="H589" s="15"/>
      <c r="J589" s="14" t="s">
        <v>193</v>
      </c>
      <c r="K589" s="15">
        <v>3.8</v>
      </c>
      <c r="L589" s="15">
        <v>28.999999999999996</v>
      </c>
      <c r="M589" s="15">
        <v>7.13</v>
      </c>
      <c r="N589" s="15">
        <v>3.96</v>
      </c>
      <c r="O589" s="15">
        <v>57.2</v>
      </c>
      <c r="P589" s="105">
        <f t="shared" si="154"/>
        <v>2.3396120329838541</v>
      </c>
      <c r="Q589" s="15"/>
      <c r="R589" s="106">
        <v>587</v>
      </c>
      <c r="S589" s="15"/>
      <c r="T589" s="15"/>
      <c r="U589" s="15"/>
    </row>
    <row r="590" spans="1:21">
      <c r="A590" s="15"/>
      <c r="B590" s="15"/>
      <c r="C590" s="15"/>
      <c r="D590" s="15"/>
      <c r="E590" s="15"/>
      <c r="F590" s="15"/>
      <c r="G590" s="15"/>
      <c r="H590" s="15"/>
      <c r="J590" s="14" t="s">
        <v>194</v>
      </c>
      <c r="K590" s="15">
        <v>3.82</v>
      </c>
      <c r="L590" s="15">
        <v>30.75</v>
      </c>
      <c r="M590" s="15">
        <v>7.44</v>
      </c>
      <c r="N590" s="15">
        <v>4.18</v>
      </c>
      <c r="O590" s="15">
        <v>46.2</v>
      </c>
      <c r="P590" s="105">
        <f t="shared" si="154"/>
        <v>2.3456582947999709</v>
      </c>
      <c r="Q590" s="15"/>
      <c r="R590" s="106">
        <v>588</v>
      </c>
      <c r="S590" s="15"/>
      <c r="T590" s="15"/>
      <c r="U590" s="15"/>
    </row>
    <row r="591" spans="1:21">
      <c r="A591" s="15"/>
      <c r="B591" s="15"/>
      <c r="C591" s="15"/>
      <c r="D591" s="15"/>
      <c r="E591" s="15"/>
      <c r="F591" s="15"/>
      <c r="G591" s="15"/>
      <c r="H591" s="15"/>
      <c r="I591" s="4">
        <f t="shared" ref="I591" si="156">I579+1</f>
        <v>1912</v>
      </c>
      <c r="J591" s="14" t="s">
        <v>184</v>
      </c>
      <c r="K591" s="15">
        <v>3.8</v>
      </c>
      <c r="L591" s="15">
        <v>28.000000000000004</v>
      </c>
      <c r="M591" s="15">
        <v>8.11</v>
      </c>
      <c r="N591" s="15">
        <v>3.81</v>
      </c>
      <c r="O591" s="15">
        <v>46.2</v>
      </c>
      <c r="P591" s="105">
        <f t="shared" si="154"/>
        <v>2.3517201819768032</v>
      </c>
      <c r="Q591" s="15"/>
      <c r="R591" s="106">
        <v>589</v>
      </c>
      <c r="S591" s="15"/>
      <c r="T591" s="15"/>
      <c r="U591" s="15"/>
    </row>
    <row r="592" spans="1:21">
      <c r="A592" s="15"/>
      <c r="B592" s="15"/>
      <c r="C592" s="15"/>
      <c r="D592" s="15"/>
      <c r="E592" s="15"/>
      <c r="F592" s="15"/>
      <c r="G592" s="15"/>
      <c r="H592" s="15"/>
      <c r="J592" s="14" t="s">
        <v>364</v>
      </c>
      <c r="K592" s="15">
        <v>3.8</v>
      </c>
      <c r="L592" s="15">
        <v>30.65</v>
      </c>
      <c r="M592" s="15">
        <v>7.48</v>
      </c>
      <c r="N592" s="15">
        <v>3.8</v>
      </c>
      <c r="O592" s="15">
        <v>46.2</v>
      </c>
      <c r="P592" s="105">
        <f t="shared" si="154"/>
        <v>2.3577977348949863</v>
      </c>
      <c r="Q592" s="15"/>
      <c r="R592" s="106">
        <v>590</v>
      </c>
      <c r="S592" s="15"/>
      <c r="T592" s="15"/>
      <c r="U592" s="15"/>
    </row>
    <row r="593" spans="1:21">
      <c r="A593" s="15"/>
      <c r="B593" s="15"/>
      <c r="C593" s="15"/>
      <c r="D593" s="15"/>
      <c r="E593" s="15"/>
      <c r="F593" s="15"/>
      <c r="G593" s="15"/>
      <c r="H593" s="15"/>
      <c r="J593" s="14" t="s">
        <v>130</v>
      </c>
      <c r="K593" s="15">
        <v>3.81</v>
      </c>
      <c r="L593" s="15">
        <v>30.5</v>
      </c>
      <c r="M593" s="15">
        <v>6.73</v>
      </c>
      <c r="N593" s="15">
        <v>3.79</v>
      </c>
      <c r="O593" s="15">
        <v>46.64</v>
      </c>
      <c r="P593" s="105">
        <f t="shared" si="154"/>
        <v>2.3638909940395125</v>
      </c>
      <c r="Q593" s="15"/>
      <c r="R593" s="106">
        <v>591</v>
      </c>
      <c r="S593" s="15"/>
      <c r="T593" s="15"/>
      <c r="U593" s="15"/>
    </row>
    <row r="594" spans="1:21">
      <c r="A594" s="15"/>
      <c r="B594" s="15"/>
      <c r="C594" s="15"/>
      <c r="D594" s="15"/>
      <c r="E594" s="15"/>
      <c r="F594" s="15"/>
      <c r="G594" s="15"/>
      <c r="H594" s="15"/>
      <c r="J594" s="14" t="s">
        <v>131</v>
      </c>
      <c r="K594" s="15">
        <v>3.85</v>
      </c>
      <c r="L594" s="15">
        <v>30.599999999999998</v>
      </c>
      <c r="M594" s="15">
        <v>6.64</v>
      </c>
      <c r="N594" s="15">
        <v>3.83</v>
      </c>
      <c r="O594" s="15">
        <v>48.4</v>
      </c>
      <c r="P594" s="15">
        <v>2.37</v>
      </c>
      <c r="Q594" s="15"/>
      <c r="R594" s="106">
        <v>592</v>
      </c>
      <c r="S594" s="15"/>
      <c r="T594" s="15"/>
      <c r="U594" s="15"/>
    </row>
    <row r="595" spans="1:21">
      <c r="A595" s="15"/>
      <c r="B595" s="15"/>
      <c r="C595" s="15"/>
      <c r="D595" s="15"/>
      <c r="E595" s="15"/>
      <c r="F595" s="15"/>
      <c r="G595" s="15"/>
      <c r="H595" s="15"/>
      <c r="J595" s="14" t="s">
        <v>132</v>
      </c>
      <c r="K595" s="15">
        <v>3.85</v>
      </c>
      <c r="L595" s="15">
        <v>31.25</v>
      </c>
      <c r="M595" s="15">
        <v>6.71</v>
      </c>
      <c r="N595" s="15">
        <v>3.7</v>
      </c>
      <c r="O595" s="15">
        <v>48.4</v>
      </c>
      <c r="P595" s="15">
        <v>2.2000000000000002</v>
      </c>
      <c r="Q595" s="15"/>
      <c r="R595" s="106">
        <v>593</v>
      </c>
      <c r="S595" s="15"/>
      <c r="T595" s="15"/>
      <c r="U595" s="15"/>
    </row>
    <row r="596" spans="1:21">
      <c r="A596" s="15"/>
      <c r="B596" s="15"/>
      <c r="C596" s="15"/>
      <c r="D596" s="15"/>
      <c r="E596" s="15"/>
      <c r="F596" s="15"/>
      <c r="G596" s="15"/>
      <c r="H596" s="15"/>
      <c r="J596" s="14" t="s">
        <v>133</v>
      </c>
      <c r="K596" s="15">
        <v>3.85</v>
      </c>
      <c r="L596" s="15">
        <v>31</v>
      </c>
      <c r="M596" s="15">
        <v>6.95</v>
      </c>
      <c r="N596" s="15">
        <v>3.67</v>
      </c>
      <c r="O596" s="15">
        <v>50.6</v>
      </c>
      <c r="P596" s="15">
        <v>2.13</v>
      </c>
      <c r="Q596" s="15"/>
      <c r="R596" s="106">
        <v>594</v>
      </c>
      <c r="S596" s="15"/>
      <c r="T596" s="15"/>
      <c r="U596" s="15"/>
    </row>
    <row r="597" spans="1:21">
      <c r="A597" s="15"/>
      <c r="B597" s="15"/>
      <c r="C597" s="15"/>
      <c r="D597" s="15"/>
      <c r="E597" s="15"/>
      <c r="F597" s="15"/>
      <c r="G597" s="15"/>
      <c r="H597" s="15"/>
      <c r="J597" s="14" t="s">
        <v>134</v>
      </c>
      <c r="K597" s="105">
        <f>K596+(K596*(RATE(($R$600-$R$596),0,K$596,-K$600)))</f>
        <v>4.0382390702788689</v>
      </c>
      <c r="L597" s="15">
        <v>31</v>
      </c>
      <c r="M597" s="15">
        <v>6.74</v>
      </c>
      <c r="N597" s="15">
        <v>3.78</v>
      </c>
      <c r="O597" s="15">
        <v>51.65</v>
      </c>
      <c r="P597" s="15">
        <v>2.09</v>
      </c>
      <c r="Q597" s="15"/>
      <c r="R597" s="106">
        <v>595</v>
      </c>
      <c r="S597" s="15"/>
      <c r="T597" s="15"/>
      <c r="U597" s="15"/>
    </row>
    <row r="598" spans="1:21">
      <c r="A598" s="15"/>
      <c r="B598" s="15"/>
      <c r="C598" s="15"/>
      <c r="D598" s="15"/>
      <c r="E598" s="15"/>
      <c r="F598" s="15"/>
      <c r="G598" s="15"/>
      <c r="H598" s="15"/>
      <c r="J598" s="14" t="s">
        <v>135</v>
      </c>
      <c r="K598" s="105">
        <f>K597+(K597*(RATE(($R$600-$R$596),0,K$596,-K$600)))</f>
        <v>4.2356817633056476</v>
      </c>
      <c r="L598" s="15">
        <v>31.6</v>
      </c>
      <c r="M598" s="15">
        <v>7.47</v>
      </c>
      <c r="N598" s="15">
        <v>3.78</v>
      </c>
      <c r="O598" s="15">
        <v>60.17</v>
      </c>
      <c r="P598" s="15">
        <v>2.11</v>
      </c>
      <c r="Q598" s="15"/>
      <c r="R598" s="106">
        <v>596</v>
      </c>
      <c r="S598" s="15"/>
      <c r="T598" s="15"/>
      <c r="U598" s="15"/>
    </row>
    <row r="599" spans="1:21">
      <c r="A599" s="15"/>
      <c r="B599" s="15"/>
      <c r="C599" s="15"/>
      <c r="D599" s="15"/>
      <c r="E599" s="15"/>
      <c r="F599" s="15"/>
      <c r="G599" s="15"/>
      <c r="H599" s="15"/>
      <c r="J599" s="14" t="s">
        <v>136</v>
      </c>
      <c r="K599" s="105">
        <f>K598+(K598*(RATE(($R$600-$R$596),0,K$596,-K$600)))</f>
        <v>4.4427780742463794</v>
      </c>
      <c r="L599" s="15">
        <v>34.299999999999997</v>
      </c>
      <c r="M599" s="15">
        <v>5.18</v>
      </c>
      <c r="N599" s="15">
        <v>3.88</v>
      </c>
      <c r="O599" s="15">
        <v>64.900000000000006</v>
      </c>
      <c r="P599" s="15">
        <v>2.06</v>
      </c>
      <c r="Q599" s="15"/>
      <c r="R599" s="106">
        <v>597</v>
      </c>
      <c r="S599" s="15"/>
      <c r="T599" s="15"/>
      <c r="U599" s="15"/>
    </row>
    <row r="600" spans="1:21">
      <c r="A600" s="15"/>
      <c r="B600" s="15"/>
      <c r="C600" s="15"/>
      <c r="D600" s="15"/>
      <c r="E600" s="15"/>
      <c r="F600" s="15"/>
      <c r="G600" s="15"/>
      <c r="H600" s="15"/>
      <c r="J600" s="14" t="s">
        <v>192</v>
      </c>
      <c r="K600" s="15">
        <v>4.66</v>
      </c>
      <c r="L600" s="15">
        <v>37</v>
      </c>
      <c r="M600" s="15">
        <v>5.81</v>
      </c>
      <c r="N600" s="15">
        <v>3.86</v>
      </c>
      <c r="O600" s="15">
        <v>60.28</v>
      </c>
      <c r="P600" s="15">
        <v>2.09</v>
      </c>
      <c r="Q600" s="15"/>
      <c r="R600" s="106">
        <v>598</v>
      </c>
      <c r="S600" s="15"/>
      <c r="T600" s="15"/>
      <c r="U600" s="15"/>
    </row>
    <row r="601" spans="1:21">
      <c r="A601" s="15"/>
      <c r="B601" s="15"/>
      <c r="C601" s="15"/>
      <c r="D601" s="15"/>
      <c r="E601" s="15"/>
      <c r="F601" s="15"/>
      <c r="G601" s="15"/>
      <c r="H601" s="15"/>
      <c r="J601" s="14" t="s">
        <v>193</v>
      </c>
      <c r="K601" s="15">
        <v>4.32</v>
      </c>
      <c r="L601" s="15">
        <v>38.44</v>
      </c>
      <c r="M601" s="15">
        <v>5.35</v>
      </c>
      <c r="N601" s="15">
        <v>3.71</v>
      </c>
      <c r="O601" s="15">
        <v>60.28</v>
      </c>
      <c r="P601" s="15">
        <v>2.1</v>
      </c>
      <c r="Q601" s="15"/>
      <c r="R601" s="106">
        <v>599</v>
      </c>
      <c r="S601" s="15"/>
      <c r="T601" s="15"/>
      <c r="U601" s="15"/>
    </row>
    <row r="602" spans="1:21">
      <c r="A602" s="15"/>
      <c r="B602" s="15"/>
      <c r="C602" s="15"/>
      <c r="D602" s="15"/>
      <c r="E602" s="15"/>
      <c r="F602" s="15"/>
      <c r="G602" s="15"/>
      <c r="H602" s="15"/>
      <c r="J602" s="14" t="s">
        <v>194</v>
      </c>
      <c r="K602" s="15">
        <v>4.33</v>
      </c>
      <c r="L602" s="15">
        <v>39</v>
      </c>
      <c r="M602" s="15">
        <v>4.7699999999999996</v>
      </c>
      <c r="N602" s="15">
        <v>3.5</v>
      </c>
      <c r="O602" s="15">
        <v>60.28</v>
      </c>
      <c r="P602" s="15">
        <v>2.14</v>
      </c>
      <c r="Q602" s="15"/>
      <c r="R602" s="106">
        <v>600</v>
      </c>
      <c r="S602" s="15"/>
      <c r="T602" s="15"/>
      <c r="U602" s="15"/>
    </row>
    <row r="603" spans="1:21">
      <c r="A603" s="15"/>
      <c r="B603" s="15"/>
      <c r="C603" s="15"/>
      <c r="D603" s="15"/>
      <c r="E603" s="15"/>
      <c r="F603" s="15"/>
      <c r="G603" s="15"/>
      <c r="H603" s="15"/>
      <c r="I603" s="4">
        <f t="shared" ref="I603" si="157">I591+1</f>
        <v>1913</v>
      </c>
      <c r="J603" s="14" t="s">
        <v>96</v>
      </c>
      <c r="K603" s="15">
        <v>4.3099999999999996</v>
      </c>
      <c r="L603" s="15">
        <v>39.6</v>
      </c>
      <c r="M603" s="15">
        <v>4.6500000000000004</v>
      </c>
      <c r="N603" s="15">
        <v>3.45</v>
      </c>
      <c r="O603" s="15">
        <v>59.4</v>
      </c>
      <c r="P603" s="15">
        <v>2.2000000000000002</v>
      </c>
      <c r="Q603" s="15"/>
      <c r="R603" s="106">
        <v>601</v>
      </c>
      <c r="S603" s="15"/>
      <c r="T603" s="15"/>
      <c r="U603" s="15"/>
    </row>
    <row r="604" spans="1:21">
      <c r="A604" s="15"/>
      <c r="B604" s="15"/>
      <c r="C604" s="15"/>
      <c r="D604" s="15"/>
      <c r="E604" s="15"/>
      <c r="F604" s="15"/>
      <c r="G604" s="15"/>
      <c r="H604" s="15"/>
      <c r="J604" s="14" t="s">
        <v>97</v>
      </c>
      <c r="K604" s="15">
        <v>4.3099999999999996</v>
      </c>
      <c r="L604" s="15">
        <v>40.200000000000003</v>
      </c>
      <c r="M604" s="15">
        <v>4.72</v>
      </c>
      <c r="N604" s="15">
        <v>3.42</v>
      </c>
      <c r="O604" s="15">
        <v>59.4</v>
      </c>
      <c r="P604" s="15">
        <v>2.1800000000000002</v>
      </c>
      <c r="Q604" s="15"/>
      <c r="R604" s="106">
        <v>602</v>
      </c>
      <c r="S604" s="15"/>
      <c r="T604" s="15"/>
      <c r="U604" s="15"/>
    </row>
    <row r="605" spans="1:21">
      <c r="A605" s="15"/>
      <c r="B605" s="15"/>
      <c r="C605" s="15"/>
      <c r="D605" s="15"/>
      <c r="E605" s="15"/>
      <c r="F605" s="15"/>
      <c r="G605" s="15"/>
      <c r="H605" s="15"/>
      <c r="J605" s="14" t="s">
        <v>130</v>
      </c>
      <c r="K605" s="15">
        <v>4.3099999999999996</v>
      </c>
      <c r="L605" s="15">
        <v>40</v>
      </c>
      <c r="M605" s="15">
        <v>4.5599999999999996</v>
      </c>
      <c r="N605" s="15">
        <v>3.48</v>
      </c>
      <c r="O605" s="15">
        <v>59.4</v>
      </c>
      <c r="P605" s="15">
        <v>2.1800000000000002</v>
      </c>
      <c r="Q605" s="15"/>
      <c r="R605" s="106">
        <v>603</v>
      </c>
      <c r="S605" s="15"/>
      <c r="T605" s="15"/>
      <c r="U605" s="15"/>
    </row>
    <row r="606" spans="1:21">
      <c r="A606" s="15"/>
      <c r="B606" s="15"/>
      <c r="C606" s="15"/>
      <c r="D606" s="15"/>
      <c r="E606" s="15"/>
      <c r="F606" s="15"/>
      <c r="G606" s="15"/>
      <c r="H606" s="15"/>
      <c r="J606" s="14" t="s">
        <v>131</v>
      </c>
      <c r="K606" s="105">
        <f t="shared" ref="K606:K610" si="158">K605+(K605*(RATE(($R$612-$R$605),0,K$605,-K$612)))</f>
        <v>4.3380190199258895</v>
      </c>
      <c r="L606" s="15">
        <v>38.75</v>
      </c>
      <c r="M606" s="15">
        <v>4.6900000000000004</v>
      </c>
      <c r="N606" s="15">
        <v>3.69</v>
      </c>
      <c r="O606" s="15">
        <v>64.680000000000007</v>
      </c>
      <c r="P606" s="15">
        <v>2.25</v>
      </c>
      <c r="Q606" s="15"/>
      <c r="R606" s="106">
        <v>604</v>
      </c>
      <c r="S606" s="15"/>
      <c r="T606" s="15"/>
      <c r="U606" s="15"/>
    </row>
    <row r="607" spans="1:21">
      <c r="A607" s="15"/>
      <c r="B607" s="15"/>
      <c r="C607" s="15"/>
      <c r="D607" s="15"/>
      <c r="E607" s="15"/>
      <c r="F607" s="15"/>
      <c r="G607" s="15"/>
      <c r="H607" s="15"/>
      <c r="J607" s="14" t="s">
        <v>132</v>
      </c>
      <c r="K607" s="105">
        <f t="shared" si="158"/>
        <v>4.3662201896145652</v>
      </c>
      <c r="L607" s="15">
        <v>38.299999999999997</v>
      </c>
      <c r="M607" s="15">
        <v>4.91</v>
      </c>
      <c r="N607" s="15">
        <v>3.98</v>
      </c>
      <c r="O607" s="15">
        <v>68.64</v>
      </c>
      <c r="P607" s="15">
        <v>2.2599999999999998</v>
      </c>
      <c r="Q607" s="15"/>
      <c r="R607" s="106">
        <v>605</v>
      </c>
      <c r="S607" s="15"/>
      <c r="T607" s="15"/>
      <c r="U607" s="15"/>
    </row>
    <row r="608" spans="1:21">
      <c r="A608" s="15"/>
      <c r="B608" s="15"/>
      <c r="C608" s="15"/>
      <c r="D608" s="15"/>
      <c r="E608" s="15"/>
      <c r="F608" s="15"/>
      <c r="G608" s="15"/>
      <c r="H608" s="15"/>
      <c r="J608" s="14" t="s">
        <v>133</v>
      </c>
      <c r="K608" s="105">
        <f>K607+(K607*(RATE(($R$612-$R$605),0,K$605,-K$612)))</f>
        <v>4.3946046932093754</v>
      </c>
      <c r="L608" s="15">
        <v>35.82</v>
      </c>
      <c r="M608" s="15">
        <v>4.87</v>
      </c>
      <c r="N608" s="15">
        <v>3.89</v>
      </c>
      <c r="O608" s="15">
        <v>65.12</v>
      </c>
      <c r="P608" s="15">
        <v>2.23</v>
      </c>
      <c r="Q608" s="15"/>
      <c r="R608" s="106">
        <v>606</v>
      </c>
      <c r="S608" s="15"/>
      <c r="T608" s="15"/>
      <c r="U608" s="15"/>
    </row>
    <row r="609" spans="1:21">
      <c r="A609" s="15"/>
      <c r="B609" s="15"/>
      <c r="C609" s="15"/>
      <c r="D609" s="15"/>
      <c r="E609" s="15"/>
      <c r="F609" s="15"/>
      <c r="G609" s="15"/>
      <c r="H609" s="15"/>
      <c r="J609" s="14" t="s">
        <v>134</v>
      </c>
      <c r="K609" s="105">
        <f t="shared" si="158"/>
        <v>4.4231737225517058</v>
      </c>
      <c r="L609" s="15">
        <v>38.25</v>
      </c>
      <c r="M609" s="15">
        <v>5.04</v>
      </c>
      <c r="N609" s="15">
        <v>3.9</v>
      </c>
      <c r="O609" s="15">
        <v>63.8</v>
      </c>
      <c r="P609" s="15">
        <v>2.2400000000000002</v>
      </c>
      <c r="Q609" s="15"/>
      <c r="R609" s="106">
        <v>607</v>
      </c>
      <c r="S609" s="15"/>
      <c r="T609" s="15"/>
      <c r="U609" s="15"/>
    </row>
    <row r="610" spans="1:21">
      <c r="A610" s="15"/>
      <c r="B610" s="15"/>
      <c r="C610" s="15"/>
      <c r="D610" s="15"/>
      <c r="E610" s="15"/>
      <c r="F610" s="15"/>
      <c r="G610" s="15"/>
      <c r="H610" s="15"/>
      <c r="J610" s="14" t="s">
        <v>135</v>
      </c>
      <c r="K610" s="105">
        <f t="shared" si="158"/>
        <v>4.4519284772310206</v>
      </c>
      <c r="L610" s="15">
        <v>40.69</v>
      </c>
      <c r="M610" s="15">
        <v>5.46</v>
      </c>
      <c r="N610" s="15">
        <v>3.91</v>
      </c>
      <c r="O610" s="15">
        <v>63.8</v>
      </c>
      <c r="P610" s="15">
        <v>2.23</v>
      </c>
      <c r="Q610" s="15"/>
      <c r="R610" s="106">
        <v>608</v>
      </c>
      <c r="S610" s="15"/>
      <c r="T610" s="15"/>
      <c r="U610" s="15"/>
    </row>
    <row r="611" spans="1:21">
      <c r="A611" s="15"/>
      <c r="B611" s="15"/>
      <c r="C611" s="15"/>
      <c r="D611" s="15"/>
      <c r="E611" s="15"/>
      <c r="F611" s="15"/>
      <c r="G611" s="15"/>
      <c r="H611" s="15"/>
      <c r="J611" s="14" t="s">
        <v>136</v>
      </c>
      <c r="K611" s="105">
        <f>K610+(K610*(RATE(($R$612-$R$605),0,K$605,-K$612)))</f>
        <v>4.4808701646352365</v>
      </c>
      <c r="L611" s="15">
        <v>41.42</v>
      </c>
      <c r="M611" s="15">
        <v>5.28</v>
      </c>
      <c r="N611" s="15">
        <v>3.78</v>
      </c>
      <c r="O611" s="15">
        <v>63.8</v>
      </c>
      <c r="P611" s="15">
        <v>2.4900000000000002</v>
      </c>
      <c r="Q611" s="15"/>
      <c r="R611" s="106">
        <v>609</v>
      </c>
      <c r="S611" s="15"/>
      <c r="T611" s="15"/>
      <c r="U611" s="15"/>
    </row>
    <row r="612" spans="1:21">
      <c r="A612" s="15"/>
      <c r="B612" s="15"/>
      <c r="C612" s="15"/>
      <c r="D612" s="15"/>
      <c r="E612" s="15"/>
      <c r="F612" s="15"/>
      <c r="G612" s="15"/>
      <c r="H612" s="15"/>
      <c r="J612" s="14" t="s">
        <v>192</v>
      </c>
      <c r="K612" s="15">
        <v>4.51</v>
      </c>
      <c r="L612" s="15">
        <v>43.51</v>
      </c>
      <c r="M612" s="15">
        <v>5.0599999999999996</v>
      </c>
      <c r="N612" s="15">
        <v>3.96</v>
      </c>
      <c r="O612" s="15">
        <v>63.8</v>
      </c>
      <c r="P612" s="15">
        <v>2.4500000000000002</v>
      </c>
      <c r="Q612" s="15"/>
      <c r="R612" s="106">
        <v>610</v>
      </c>
      <c r="S612" s="15"/>
      <c r="T612" s="15"/>
      <c r="U612" s="15"/>
    </row>
    <row r="613" spans="1:21">
      <c r="A613" s="15"/>
      <c r="B613" s="15"/>
      <c r="C613" s="15"/>
      <c r="D613" s="15"/>
      <c r="E613" s="15"/>
      <c r="F613" s="15"/>
      <c r="G613" s="15"/>
      <c r="H613" s="15"/>
      <c r="J613" s="14" t="s">
        <v>193</v>
      </c>
      <c r="K613" s="15">
        <v>4.53</v>
      </c>
      <c r="L613" s="15">
        <v>42.75</v>
      </c>
      <c r="M613" s="15">
        <v>4.8600000000000003</v>
      </c>
      <c r="N613" s="15">
        <v>3.99</v>
      </c>
      <c r="O613" s="15">
        <v>63.8</v>
      </c>
      <c r="P613" s="15">
        <v>2.37</v>
      </c>
      <c r="Q613" s="15"/>
      <c r="R613" s="106">
        <v>611</v>
      </c>
      <c r="S613" s="15"/>
      <c r="T613" s="15"/>
      <c r="U613" s="15"/>
    </row>
    <row r="614" spans="1:21">
      <c r="A614" s="15"/>
      <c r="B614" s="15"/>
      <c r="C614" s="15"/>
      <c r="D614" s="15"/>
      <c r="E614" s="15"/>
      <c r="F614" s="15"/>
      <c r="G614" s="15"/>
      <c r="H614" s="15"/>
      <c r="J614" s="14" t="s">
        <v>194</v>
      </c>
      <c r="K614" s="15">
        <v>4.37</v>
      </c>
      <c r="L614" s="15">
        <v>41.9</v>
      </c>
      <c r="M614" s="15">
        <v>5.1100000000000003</v>
      </c>
      <c r="N614" s="15">
        <v>3.87</v>
      </c>
      <c r="O614" s="15">
        <v>62.48</v>
      </c>
      <c r="P614" s="15">
        <v>2.42</v>
      </c>
      <c r="Q614" s="15"/>
      <c r="R614" s="106">
        <v>612</v>
      </c>
      <c r="S614" s="15"/>
      <c r="T614" s="15"/>
      <c r="U614" s="15"/>
    </row>
    <row r="615" spans="1:21">
      <c r="J615" s="14"/>
    </row>
    <row r="616" spans="1:21">
      <c r="J616" s="14"/>
    </row>
    <row r="670" spans="12:13">
      <c r="L670" s="53"/>
      <c r="M670" s="52"/>
    </row>
    <row r="671" spans="12:13">
      <c r="L671" s="53"/>
      <c r="M671" s="52"/>
    </row>
    <row r="672" spans="12:13">
      <c r="L672" s="53"/>
      <c r="M672" s="52"/>
    </row>
    <row r="673" spans="12:13">
      <c r="L673" s="53"/>
      <c r="M673" s="52"/>
    </row>
    <row r="674" spans="12:13">
      <c r="L674" s="53"/>
      <c r="M674" s="52"/>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O53"/>
  <sheetViews>
    <sheetView zoomScale="125" workbookViewId="0">
      <pane xSplit="1" ySplit="3" topLeftCell="B37" activePane="bottomRight" state="frozen"/>
      <selection pane="topRight" activeCell="B1" sqref="B1"/>
      <selection pane="bottomLeft" activeCell="A5" sqref="A5"/>
      <selection pane="bottomRight" activeCell="B55" sqref="B55:B56"/>
    </sheetView>
  </sheetViews>
  <sheetFormatPr baseColWidth="10" defaultRowHeight="15"/>
  <cols>
    <col min="1" max="16384" width="10.7109375" style="4"/>
  </cols>
  <sheetData>
    <row r="1" spans="1:67">
      <c r="B1" s="4" t="s">
        <v>35</v>
      </c>
      <c r="Q1" s="4" t="s">
        <v>36</v>
      </c>
    </row>
    <row r="2" spans="1:67" s="1" customFormat="1" ht="45">
      <c r="B2" s="1" t="s">
        <v>290</v>
      </c>
      <c r="C2" s="1" t="s">
        <v>291</v>
      </c>
      <c r="D2" s="1" t="s">
        <v>293</v>
      </c>
      <c r="E2" s="1" t="s">
        <v>294</v>
      </c>
      <c r="F2" s="1" t="s">
        <v>124</v>
      </c>
      <c r="G2" s="1" t="s">
        <v>328</v>
      </c>
      <c r="H2" s="1" t="s">
        <v>329</v>
      </c>
      <c r="I2" s="1" t="s">
        <v>330</v>
      </c>
      <c r="J2" s="1" t="s">
        <v>331</v>
      </c>
      <c r="K2" s="1" t="s">
        <v>185</v>
      </c>
      <c r="L2" s="1" t="s">
        <v>186</v>
      </c>
      <c r="M2" s="1" t="s">
        <v>187</v>
      </c>
      <c r="N2" s="1" t="s">
        <v>366</v>
      </c>
      <c r="Q2" s="1" t="s">
        <v>347</v>
      </c>
      <c r="T2" s="1" t="s">
        <v>348</v>
      </c>
      <c r="W2" s="1" t="s">
        <v>349</v>
      </c>
      <c r="Z2" s="1" t="s">
        <v>350</v>
      </c>
      <c r="AC2" s="1" t="s">
        <v>352</v>
      </c>
      <c r="AF2" s="1" t="s">
        <v>353</v>
      </c>
      <c r="AI2" s="1" t="s">
        <v>98</v>
      </c>
      <c r="AL2" s="1" t="s">
        <v>101</v>
      </c>
      <c r="AO2" s="1" t="s">
        <v>102</v>
      </c>
      <c r="AR2" s="1" t="s">
        <v>126</v>
      </c>
      <c r="AU2" s="1" t="s">
        <v>335</v>
      </c>
      <c r="AX2" s="1" t="s">
        <v>329</v>
      </c>
      <c r="BA2" s="1" t="s">
        <v>330</v>
      </c>
      <c r="BD2" s="1" t="s">
        <v>358</v>
      </c>
      <c r="BG2" s="1" t="s">
        <v>186</v>
      </c>
      <c r="BJ2" s="1" t="s">
        <v>187</v>
      </c>
      <c r="BM2" s="1" t="s">
        <v>366</v>
      </c>
    </row>
    <row r="3" spans="1:67" s="1" customFormat="1">
      <c r="B3" s="1" t="s">
        <v>342</v>
      </c>
      <c r="C3" s="1" t="s">
        <v>292</v>
      </c>
      <c r="D3" s="1" t="s">
        <v>342</v>
      </c>
      <c r="E3" s="1" t="s">
        <v>342</v>
      </c>
      <c r="F3" s="1" t="s">
        <v>342</v>
      </c>
      <c r="G3" s="1" t="s">
        <v>342</v>
      </c>
      <c r="H3" s="1" t="s">
        <v>342</v>
      </c>
      <c r="I3" s="1" t="s">
        <v>342</v>
      </c>
      <c r="J3" s="1" t="s">
        <v>342</v>
      </c>
      <c r="K3" s="1" t="s">
        <v>342</v>
      </c>
      <c r="L3" s="1" t="s">
        <v>342</v>
      </c>
      <c r="M3" s="1" t="s">
        <v>342</v>
      </c>
      <c r="N3" s="1" t="s">
        <v>342</v>
      </c>
      <c r="Q3" s="1" t="s">
        <v>99</v>
      </c>
      <c r="R3" s="1" t="s">
        <v>100</v>
      </c>
      <c r="S3" s="1" t="s">
        <v>342</v>
      </c>
      <c r="T3" s="1" t="s">
        <v>99</v>
      </c>
      <c r="U3" s="1" t="s">
        <v>100</v>
      </c>
      <c r="V3" s="1" t="s">
        <v>342</v>
      </c>
      <c r="W3" s="1" t="s">
        <v>99</v>
      </c>
      <c r="X3" s="1" t="s">
        <v>100</v>
      </c>
      <c r="Y3" s="1" t="s">
        <v>342</v>
      </c>
      <c r="Z3" s="1" t="s">
        <v>99</v>
      </c>
      <c r="AA3" s="1" t="s">
        <v>100</v>
      </c>
      <c r="AB3" s="1" t="s">
        <v>342</v>
      </c>
      <c r="AC3" s="1" t="s">
        <v>99</v>
      </c>
      <c r="AD3" s="1" t="s">
        <v>100</v>
      </c>
      <c r="AE3" s="1" t="s">
        <v>342</v>
      </c>
      <c r="AF3" s="1" t="s">
        <v>99</v>
      </c>
      <c r="AG3" s="1" t="s">
        <v>100</v>
      </c>
      <c r="AH3" s="1" t="s">
        <v>342</v>
      </c>
      <c r="AI3" s="1" t="s">
        <v>99</v>
      </c>
      <c r="AJ3" s="1" t="s">
        <v>100</v>
      </c>
      <c r="AK3" s="1" t="s">
        <v>342</v>
      </c>
      <c r="AL3" s="1" t="s">
        <v>99</v>
      </c>
      <c r="AM3" s="1" t="s">
        <v>100</v>
      </c>
      <c r="AN3" s="1" t="s">
        <v>342</v>
      </c>
      <c r="AO3" s="1" t="s">
        <v>103</v>
      </c>
      <c r="AP3" s="1" t="s">
        <v>125</v>
      </c>
      <c r="AQ3" s="1" t="s">
        <v>342</v>
      </c>
      <c r="AR3" s="1" t="s">
        <v>127</v>
      </c>
      <c r="AS3" s="1" t="s">
        <v>128</v>
      </c>
      <c r="AT3" s="1" t="s">
        <v>342</v>
      </c>
      <c r="AU3" s="1" t="s">
        <v>127</v>
      </c>
      <c r="AV3" s="1" t="s">
        <v>128</v>
      </c>
      <c r="AW3" s="1" t="s">
        <v>342</v>
      </c>
      <c r="AX3" s="1" t="s">
        <v>127</v>
      </c>
      <c r="AY3" s="1" t="s">
        <v>128</v>
      </c>
      <c r="AZ3" s="1" t="s">
        <v>342</v>
      </c>
      <c r="BA3" s="1" t="s">
        <v>99</v>
      </c>
      <c r="BB3" s="1" t="s">
        <v>100</v>
      </c>
      <c r="BC3" s="1" t="s">
        <v>342</v>
      </c>
      <c r="BD3" s="1" t="s">
        <v>99</v>
      </c>
      <c r="BE3" s="1" t="s">
        <v>100</v>
      </c>
      <c r="BF3" s="1" t="s">
        <v>342</v>
      </c>
      <c r="BG3" s="1" t="s">
        <v>99</v>
      </c>
      <c r="BH3" s="1" t="s">
        <v>100</v>
      </c>
      <c r="BI3" s="1" t="s">
        <v>342</v>
      </c>
      <c r="BJ3" s="1" t="s">
        <v>99</v>
      </c>
      <c r="BK3" s="1" t="s">
        <v>100</v>
      </c>
      <c r="BL3" s="1" t="s">
        <v>342</v>
      </c>
      <c r="BM3" s="1" t="s">
        <v>99</v>
      </c>
      <c r="BN3" s="1" t="s">
        <v>100</v>
      </c>
      <c r="BO3" s="1" t="s">
        <v>342</v>
      </c>
    </row>
    <row r="4" spans="1:67">
      <c r="A4" s="4">
        <v>1864</v>
      </c>
      <c r="B4" s="18">
        <v>52.24</v>
      </c>
      <c r="C4" s="18">
        <v>7.92</v>
      </c>
      <c r="D4" s="18">
        <v>269.62</v>
      </c>
      <c r="E4" s="18"/>
      <c r="F4" s="18"/>
      <c r="G4" s="18"/>
      <c r="H4" s="18"/>
      <c r="I4" s="18"/>
      <c r="J4" s="18">
        <v>151.41999999999999</v>
      </c>
      <c r="K4" s="18">
        <v>363.75</v>
      </c>
      <c r="L4" s="20">
        <v>556</v>
      </c>
      <c r="M4" s="18">
        <v>120.85</v>
      </c>
      <c r="N4" s="18">
        <v>249.97</v>
      </c>
      <c r="O4" s="18"/>
      <c r="P4" s="18"/>
      <c r="Q4" s="36"/>
      <c r="R4" s="36"/>
      <c r="S4" s="36"/>
      <c r="T4" s="36"/>
      <c r="U4" s="36"/>
      <c r="V4" s="36"/>
      <c r="W4" s="36"/>
      <c r="X4" s="36"/>
      <c r="Y4" s="36"/>
      <c r="Z4" s="36"/>
      <c r="AA4" s="36"/>
      <c r="AB4" s="36"/>
      <c r="AC4" s="36"/>
      <c r="AD4" s="36"/>
      <c r="AE4" s="36"/>
      <c r="AF4" s="36"/>
      <c r="AG4" s="36"/>
      <c r="AH4" s="36"/>
      <c r="AI4" s="18"/>
      <c r="AJ4" s="18"/>
      <c r="AK4" s="18"/>
      <c r="AL4" s="18"/>
      <c r="AM4" s="18"/>
      <c r="AN4" s="18"/>
      <c r="AO4" s="18"/>
      <c r="AP4" s="18"/>
      <c r="AQ4" s="18"/>
      <c r="AR4" s="18"/>
      <c r="AS4" s="18"/>
      <c r="AT4" s="18"/>
      <c r="AU4" s="18"/>
      <c r="AV4" s="18"/>
      <c r="AW4" s="18"/>
      <c r="AX4" s="18"/>
      <c r="AY4" s="18"/>
      <c r="AZ4" s="18"/>
      <c r="BA4" s="18"/>
      <c r="BB4" s="18"/>
      <c r="BC4" s="18"/>
      <c r="BD4" s="18"/>
      <c r="BE4" s="18"/>
      <c r="BF4" s="18"/>
      <c r="BG4" s="18"/>
    </row>
    <row r="5" spans="1:67">
      <c r="A5" s="4">
        <v>1865</v>
      </c>
      <c r="B5" s="18">
        <v>42.88</v>
      </c>
      <c r="C5" s="18">
        <v>6.19</v>
      </c>
      <c r="D5" s="18">
        <v>234.73</v>
      </c>
      <c r="E5" s="18"/>
      <c r="F5" s="18"/>
      <c r="G5" s="18"/>
      <c r="H5" s="18"/>
      <c r="I5" s="18"/>
      <c r="J5" s="18">
        <v>154.11000000000001</v>
      </c>
      <c r="K5" s="18">
        <v>362.85</v>
      </c>
      <c r="L5" s="20">
        <v>495</v>
      </c>
      <c r="M5" s="18">
        <v>103.13</v>
      </c>
      <c r="N5" s="18">
        <v>277.75</v>
      </c>
      <c r="O5" s="18"/>
      <c r="P5" s="18"/>
      <c r="Q5" s="36"/>
      <c r="R5" s="36"/>
      <c r="S5" s="36"/>
      <c r="T5" s="36"/>
      <c r="U5" s="36"/>
      <c r="V5" s="36"/>
      <c r="W5" s="36"/>
      <c r="X5" s="36"/>
      <c r="Y5" s="36"/>
      <c r="Z5" s="36"/>
      <c r="AA5" s="36"/>
      <c r="AB5" s="36"/>
      <c r="AC5" s="36"/>
      <c r="AD5" s="36"/>
      <c r="AE5" s="36"/>
      <c r="AF5" s="36"/>
      <c r="AG5" s="36"/>
      <c r="AH5" s="36"/>
      <c r="AI5" s="18"/>
      <c r="AJ5" s="18"/>
      <c r="AK5" s="18"/>
      <c r="AL5" s="18"/>
      <c r="AM5" s="18"/>
      <c r="AN5" s="18"/>
      <c r="AO5" s="18"/>
      <c r="AP5" s="18"/>
      <c r="AQ5" s="18"/>
      <c r="AR5" s="18"/>
      <c r="AS5" s="18"/>
      <c r="AT5" s="18"/>
      <c r="AU5" s="18"/>
      <c r="AV5" s="18"/>
      <c r="AW5" s="18"/>
      <c r="AX5" s="18"/>
      <c r="AY5" s="18"/>
      <c r="AZ5" s="18"/>
      <c r="BA5" s="18"/>
      <c r="BB5" s="18"/>
      <c r="BC5" s="18"/>
      <c r="BD5" s="18"/>
      <c r="BE5" s="18"/>
      <c r="BF5" s="18"/>
      <c r="BG5" s="18"/>
    </row>
    <row r="6" spans="1:67">
      <c r="A6" s="4">
        <v>1866</v>
      </c>
      <c r="B6" s="18">
        <v>43.09</v>
      </c>
      <c r="C6" s="18">
        <v>7.08</v>
      </c>
      <c r="D6" s="18">
        <v>274.16000000000003</v>
      </c>
      <c r="E6" s="18"/>
      <c r="F6" s="18"/>
      <c r="G6" s="18"/>
      <c r="H6" s="18"/>
      <c r="I6" s="18"/>
      <c r="J6" s="18">
        <v>168.04</v>
      </c>
      <c r="K6" s="18">
        <v>432.74</v>
      </c>
      <c r="L6" s="20">
        <v>518</v>
      </c>
      <c r="M6" s="18">
        <v>109.13</v>
      </c>
      <c r="N6" s="18">
        <v>259.45999999999998</v>
      </c>
      <c r="O6" s="18"/>
      <c r="P6" s="18"/>
      <c r="Q6" s="36"/>
      <c r="R6" s="36"/>
      <c r="S6" s="36"/>
      <c r="T6" s="36"/>
      <c r="U6" s="36"/>
      <c r="V6" s="36"/>
      <c r="W6" s="36"/>
      <c r="X6" s="36"/>
      <c r="Y6" s="36"/>
      <c r="Z6" s="36"/>
      <c r="AA6" s="36"/>
      <c r="AB6" s="36"/>
      <c r="AC6" s="36"/>
      <c r="AD6" s="36"/>
      <c r="AE6" s="36"/>
      <c r="AF6" s="36"/>
      <c r="AG6" s="36"/>
      <c r="AH6" s="36"/>
      <c r="AI6" s="18"/>
      <c r="AJ6" s="18"/>
      <c r="AK6" s="18"/>
      <c r="AL6" s="18"/>
      <c r="AM6" s="18"/>
      <c r="AN6" s="18"/>
      <c r="AO6" s="18"/>
      <c r="AP6" s="18"/>
      <c r="AQ6" s="18"/>
      <c r="AR6" s="18"/>
      <c r="AS6" s="18"/>
      <c r="AT6" s="18"/>
      <c r="AU6" s="18"/>
      <c r="AV6" s="18"/>
      <c r="AW6" s="18"/>
      <c r="AX6" s="18"/>
      <c r="AY6" s="18"/>
      <c r="AZ6" s="18"/>
      <c r="BA6" s="18"/>
      <c r="BB6" s="18"/>
      <c r="BC6" s="18"/>
      <c r="BD6" s="18"/>
      <c r="BE6" s="18"/>
      <c r="BF6" s="18"/>
      <c r="BG6" s="18"/>
    </row>
    <row r="7" spans="1:67">
      <c r="A7" s="4">
        <v>1867</v>
      </c>
      <c r="B7" s="18">
        <v>42.66</v>
      </c>
      <c r="C7" s="18">
        <v>7.02</v>
      </c>
      <c r="D7" s="18">
        <v>264.45</v>
      </c>
      <c r="E7" s="18"/>
      <c r="F7" s="18"/>
      <c r="G7" s="18"/>
      <c r="H7" s="18"/>
      <c r="I7" s="18"/>
      <c r="J7" s="18">
        <v>165.43</v>
      </c>
      <c r="K7" s="18">
        <v>455.12</v>
      </c>
      <c r="L7" s="20">
        <v>559</v>
      </c>
      <c r="M7" s="18">
        <v>117.42</v>
      </c>
      <c r="N7" s="18">
        <v>221.15</v>
      </c>
      <c r="O7" s="18"/>
      <c r="P7" s="18"/>
      <c r="Q7" s="36"/>
      <c r="R7" s="36"/>
      <c r="S7" s="36"/>
      <c r="T7" s="36"/>
      <c r="U7" s="36"/>
      <c r="V7" s="36"/>
      <c r="W7" s="36"/>
      <c r="X7" s="36"/>
      <c r="Y7" s="36"/>
      <c r="Z7" s="36"/>
      <c r="AA7" s="36"/>
      <c r="AB7" s="36"/>
      <c r="AC7" s="36"/>
      <c r="AD7" s="36"/>
      <c r="AE7" s="36"/>
      <c r="AF7" s="36"/>
      <c r="AG7" s="36"/>
      <c r="AH7" s="36"/>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67">
      <c r="A8" s="4">
        <v>1868</v>
      </c>
      <c r="B8" s="18">
        <v>41.79</v>
      </c>
      <c r="C8" s="18">
        <v>7.3</v>
      </c>
      <c r="D8" s="18"/>
      <c r="E8" s="18"/>
      <c r="F8" s="18"/>
      <c r="G8" s="18"/>
      <c r="H8" s="18"/>
      <c r="I8" s="18"/>
      <c r="J8" s="18">
        <v>161.94999999999999</v>
      </c>
      <c r="K8" s="18"/>
      <c r="L8" s="20">
        <v>589</v>
      </c>
      <c r="M8" s="18">
        <v>135.69999999999999</v>
      </c>
      <c r="N8" s="18">
        <v>194.16</v>
      </c>
      <c r="O8" s="18"/>
      <c r="P8" s="18"/>
      <c r="Q8" s="36"/>
      <c r="R8" s="36"/>
      <c r="S8" s="36"/>
      <c r="T8" s="36"/>
      <c r="U8" s="36"/>
      <c r="V8" s="36"/>
      <c r="W8" s="36"/>
      <c r="X8" s="36"/>
      <c r="Y8" s="36"/>
      <c r="Z8" s="36"/>
      <c r="AA8" s="36"/>
      <c r="AB8" s="36"/>
      <c r="AC8" s="36"/>
      <c r="AD8" s="36"/>
      <c r="AE8" s="36"/>
      <c r="AF8" s="36"/>
      <c r="AG8" s="36"/>
      <c r="AH8" s="36"/>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1:67">
      <c r="A9" s="4">
        <v>1869</v>
      </c>
      <c r="B9" s="18">
        <v>42.66</v>
      </c>
      <c r="C9" s="18">
        <v>6.8</v>
      </c>
      <c r="D9" s="18"/>
      <c r="E9" s="18"/>
      <c r="F9" s="18"/>
      <c r="G9" s="18"/>
      <c r="H9" s="18"/>
      <c r="I9" s="18"/>
      <c r="J9" s="18">
        <v>171.52</v>
      </c>
      <c r="K9" s="18"/>
      <c r="L9" s="20">
        <v>554</v>
      </c>
      <c r="M9" s="18">
        <v>131.99</v>
      </c>
      <c r="N9" s="18">
        <v>175.01</v>
      </c>
      <c r="O9" s="18"/>
      <c r="P9" s="18"/>
      <c r="Q9" s="36"/>
      <c r="R9" s="36"/>
      <c r="S9" s="36"/>
      <c r="T9" s="36"/>
      <c r="U9" s="36"/>
      <c r="V9" s="36"/>
      <c r="W9" s="36"/>
      <c r="X9" s="36"/>
      <c r="Y9" s="36"/>
      <c r="Z9" s="36"/>
      <c r="AA9" s="36"/>
      <c r="AB9" s="36"/>
      <c r="AC9" s="36"/>
      <c r="AD9" s="36"/>
      <c r="AE9" s="36"/>
      <c r="AF9" s="36"/>
      <c r="AG9" s="36"/>
      <c r="AH9" s="36"/>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1:67">
      <c r="A10" s="4">
        <v>1870</v>
      </c>
      <c r="B10" s="18">
        <v>60.07</v>
      </c>
      <c r="C10" s="18">
        <v>7.24</v>
      </c>
      <c r="D10" s="18">
        <v>273.27999999999997</v>
      </c>
      <c r="E10" s="18"/>
      <c r="F10" s="18"/>
      <c r="G10" s="18"/>
      <c r="H10" s="18"/>
      <c r="I10" s="18"/>
      <c r="J10" s="18">
        <v>168.04</v>
      </c>
      <c r="K10" s="18"/>
      <c r="L10" s="20">
        <v>593</v>
      </c>
      <c r="M10" s="18">
        <v>138.56</v>
      </c>
      <c r="N10" s="18">
        <v>203.74</v>
      </c>
      <c r="O10" s="18"/>
      <c r="P10" s="18"/>
      <c r="Q10" s="36"/>
      <c r="R10" s="36"/>
      <c r="S10" s="36"/>
      <c r="T10" s="36"/>
      <c r="U10" s="36"/>
      <c r="V10" s="36"/>
      <c r="W10" s="36"/>
      <c r="X10" s="36"/>
      <c r="Y10" s="36"/>
      <c r="Z10" s="36"/>
      <c r="AA10" s="36"/>
      <c r="AB10" s="36"/>
      <c r="AC10" s="36"/>
      <c r="AD10" s="36"/>
      <c r="AE10" s="36"/>
      <c r="AF10" s="36"/>
      <c r="AG10" s="36"/>
      <c r="AH10" s="36"/>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67">
      <c r="A11" s="4">
        <v>1871</v>
      </c>
      <c r="B11" s="18">
        <v>87.33</v>
      </c>
      <c r="C11" s="18">
        <v>8.6</v>
      </c>
      <c r="D11" s="18">
        <v>333.95</v>
      </c>
      <c r="E11" s="18"/>
      <c r="F11" s="18"/>
      <c r="G11" s="18"/>
      <c r="H11" s="18"/>
      <c r="I11" s="18"/>
      <c r="J11" s="18">
        <v>168.44</v>
      </c>
      <c r="K11" s="18">
        <v>533.09</v>
      </c>
      <c r="L11" s="20">
        <v>620</v>
      </c>
      <c r="M11" s="18">
        <v>162.84</v>
      </c>
      <c r="N11" s="18">
        <v>235.63</v>
      </c>
      <c r="O11" s="18"/>
      <c r="P11" s="18"/>
      <c r="Q11" s="36"/>
      <c r="R11" s="36"/>
      <c r="S11" s="36"/>
      <c r="T11" s="36"/>
      <c r="U11" s="36"/>
      <c r="V11" s="36"/>
      <c r="W11" s="36"/>
      <c r="X11" s="36"/>
      <c r="Y11" s="36"/>
      <c r="Z11" s="36"/>
      <c r="AA11" s="36"/>
      <c r="AB11" s="36"/>
      <c r="AC11" s="36"/>
      <c r="AD11" s="36"/>
      <c r="AE11" s="36"/>
      <c r="AF11" s="36"/>
      <c r="AG11" s="36"/>
      <c r="AH11" s="36"/>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67">
      <c r="A12" s="4">
        <v>1872</v>
      </c>
      <c r="B12" s="18">
        <v>61.13</v>
      </c>
      <c r="C12" s="18">
        <v>8.19</v>
      </c>
      <c r="D12" s="18">
        <v>292.92</v>
      </c>
      <c r="E12" s="18"/>
      <c r="F12" s="18"/>
      <c r="G12" s="18"/>
      <c r="H12" s="18"/>
      <c r="I12" s="18"/>
      <c r="J12" s="18">
        <v>171.12</v>
      </c>
      <c r="K12" s="18">
        <v>555.48</v>
      </c>
      <c r="L12" s="20">
        <v>738</v>
      </c>
      <c r="M12" s="18">
        <v>185.7</v>
      </c>
      <c r="N12" s="18">
        <v>320.75</v>
      </c>
      <c r="O12" s="18"/>
      <c r="P12" s="18"/>
      <c r="Q12" s="36"/>
      <c r="R12" s="36"/>
      <c r="S12" s="36"/>
      <c r="T12" s="36"/>
      <c r="U12" s="36"/>
      <c r="V12" s="36"/>
      <c r="W12" s="36"/>
      <c r="X12" s="36"/>
      <c r="Y12" s="36"/>
      <c r="Z12" s="36"/>
      <c r="AA12" s="36"/>
      <c r="AB12" s="36"/>
      <c r="AC12" s="36"/>
      <c r="AD12" s="36"/>
      <c r="AE12" s="36"/>
      <c r="AF12" s="36"/>
      <c r="AG12" s="36"/>
      <c r="AH12" s="36"/>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row>
    <row r="13" spans="1:67">
      <c r="A13" s="4">
        <v>1873</v>
      </c>
      <c r="B13" s="18">
        <v>61.13</v>
      </c>
      <c r="C13" s="18">
        <v>8.85</v>
      </c>
      <c r="D13" s="18">
        <v>290.23</v>
      </c>
      <c r="E13" s="18"/>
      <c r="F13" s="18"/>
      <c r="G13" s="18"/>
      <c r="H13" s="18"/>
      <c r="I13" s="18"/>
      <c r="J13" s="18">
        <v>163.06</v>
      </c>
      <c r="K13" s="18">
        <v>547.41999999999996</v>
      </c>
      <c r="L13" s="20">
        <v>784</v>
      </c>
      <c r="M13" s="18">
        <v>199.7</v>
      </c>
      <c r="N13" s="18">
        <v>271.47000000000003</v>
      </c>
      <c r="O13" s="18"/>
      <c r="P13" s="18"/>
      <c r="Q13" s="36"/>
      <c r="R13" s="36"/>
      <c r="S13" s="36"/>
      <c r="T13" s="36"/>
      <c r="U13" s="36"/>
      <c r="V13" s="36"/>
      <c r="W13" s="36"/>
      <c r="X13" s="36"/>
      <c r="Y13" s="36"/>
      <c r="Z13" s="36"/>
      <c r="AA13" s="36"/>
      <c r="AB13" s="36"/>
      <c r="AC13" s="36"/>
      <c r="AD13" s="36"/>
      <c r="AE13" s="36"/>
      <c r="AF13" s="36"/>
      <c r="AG13" s="36"/>
      <c r="AH13" s="36"/>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67">
      <c r="A14" s="4">
        <v>1874</v>
      </c>
      <c r="B14" s="18">
        <v>81.7</v>
      </c>
      <c r="C14" s="18">
        <v>8.85</v>
      </c>
      <c r="D14" s="18">
        <v>275.89999999999998</v>
      </c>
      <c r="E14" s="18"/>
      <c r="F14" s="18"/>
      <c r="G14" s="18"/>
      <c r="H14" s="18"/>
      <c r="I14" s="18"/>
      <c r="J14" s="18">
        <v>158.61000000000001</v>
      </c>
      <c r="K14" s="18">
        <v>485.4</v>
      </c>
      <c r="L14" s="20">
        <v>718</v>
      </c>
      <c r="M14" s="18">
        <v>190.84</v>
      </c>
      <c r="N14" s="18">
        <v>294.55</v>
      </c>
      <c r="O14" s="18"/>
      <c r="P14" s="18"/>
      <c r="Q14" s="36"/>
      <c r="R14" s="36"/>
      <c r="S14" s="36"/>
      <c r="T14" s="36"/>
      <c r="U14" s="36"/>
      <c r="V14" s="36"/>
      <c r="W14" s="36"/>
      <c r="X14" s="36"/>
      <c r="Y14" s="36"/>
      <c r="Z14" s="36"/>
      <c r="AA14" s="36"/>
      <c r="AB14" s="36"/>
      <c r="AC14" s="36"/>
      <c r="AD14" s="36"/>
      <c r="AE14" s="36"/>
      <c r="AF14" s="36"/>
      <c r="AG14" s="36"/>
      <c r="AH14" s="36"/>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67">
      <c r="A15" s="4">
        <v>1875</v>
      </c>
      <c r="B15" s="18">
        <v>112.86</v>
      </c>
      <c r="C15" s="104">
        <v>10.33</v>
      </c>
      <c r="D15" s="18">
        <v>272.31</v>
      </c>
      <c r="E15" s="18"/>
      <c r="F15" s="18"/>
      <c r="G15" s="18"/>
      <c r="H15" s="18"/>
      <c r="I15" s="18"/>
      <c r="J15" s="18">
        <v>164.09</v>
      </c>
      <c r="K15" s="18">
        <v>425.57</v>
      </c>
      <c r="L15" s="20">
        <v>670</v>
      </c>
      <c r="M15" s="18">
        <v>183.41</v>
      </c>
      <c r="N15" s="18">
        <v>299.24</v>
      </c>
      <c r="O15" s="18"/>
      <c r="P15" s="18"/>
      <c r="Q15" s="36"/>
      <c r="R15" s="36"/>
      <c r="S15" s="36"/>
      <c r="T15" s="36"/>
      <c r="U15" s="36"/>
      <c r="V15" s="36"/>
      <c r="W15" s="36"/>
      <c r="X15" s="36"/>
      <c r="Y15" s="36"/>
      <c r="Z15" s="36"/>
      <c r="AA15" s="36"/>
      <c r="AB15" s="36"/>
      <c r="AC15" s="36"/>
      <c r="AD15" s="36"/>
      <c r="AE15" s="36"/>
      <c r="AF15" s="36"/>
      <c r="AG15" s="36"/>
      <c r="AH15" s="36"/>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67">
      <c r="A16" s="4">
        <v>1876</v>
      </c>
      <c r="B16" s="18">
        <v>112.63</v>
      </c>
      <c r="C16" s="18">
        <v>9.32</v>
      </c>
      <c r="D16" s="18">
        <v>215.38</v>
      </c>
      <c r="E16" s="18"/>
      <c r="F16" s="18"/>
      <c r="G16" s="18"/>
      <c r="H16" s="18"/>
      <c r="I16" s="18"/>
      <c r="J16" s="18">
        <v>162.79</v>
      </c>
      <c r="K16" s="18">
        <v>404.75</v>
      </c>
      <c r="L16" s="20">
        <v>607</v>
      </c>
      <c r="M16" s="18">
        <v>144.56</v>
      </c>
      <c r="N16" s="18">
        <v>232.05</v>
      </c>
      <c r="O16" s="18"/>
      <c r="P16" s="18"/>
      <c r="Q16" s="36"/>
      <c r="R16" s="36"/>
      <c r="S16" s="36"/>
      <c r="T16" s="36"/>
      <c r="U16" s="36"/>
      <c r="V16" s="36"/>
      <c r="W16" s="36"/>
      <c r="X16" s="36"/>
      <c r="Y16" s="36"/>
      <c r="Z16" s="36"/>
      <c r="AA16" s="36"/>
      <c r="AB16" s="36"/>
      <c r="AC16" s="36"/>
      <c r="AD16" s="36"/>
      <c r="AE16" s="36"/>
      <c r="AF16" s="36"/>
      <c r="AG16" s="36"/>
      <c r="AH16" s="36"/>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63">
      <c r="A17" s="4">
        <v>1877</v>
      </c>
      <c r="B17" s="18">
        <v>144.33000000000001</v>
      </c>
      <c r="C17" s="18">
        <v>11.25</v>
      </c>
      <c r="D17" s="18">
        <v>213.74</v>
      </c>
      <c r="E17" s="18"/>
      <c r="F17" s="18"/>
      <c r="G17" s="18"/>
      <c r="H17" s="18"/>
      <c r="I17" s="18"/>
      <c r="J17" s="18">
        <v>163.69999999999999</v>
      </c>
      <c r="K17" s="18">
        <v>339.08</v>
      </c>
      <c r="L17" s="20">
        <v>684</v>
      </c>
      <c r="M17" s="18">
        <v>170.56</v>
      </c>
      <c r="N17" s="18">
        <v>265.33999999999997</v>
      </c>
      <c r="O17" s="18"/>
      <c r="P17" s="18"/>
      <c r="Q17" s="36"/>
      <c r="R17" s="36"/>
      <c r="S17" s="36"/>
      <c r="T17" s="36"/>
      <c r="U17" s="36"/>
      <c r="V17" s="36"/>
      <c r="W17" s="36"/>
      <c r="X17" s="36"/>
      <c r="Y17" s="36"/>
      <c r="Z17" s="36"/>
      <c r="AA17" s="36"/>
      <c r="AB17" s="36"/>
      <c r="AC17" s="36"/>
      <c r="AD17" s="36"/>
      <c r="AE17" s="36"/>
      <c r="AF17" s="36"/>
      <c r="AG17" s="36"/>
      <c r="AH17" s="36"/>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63">
      <c r="A18" s="4">
        <v>1878</v>
      </c>
      <c r="B18" s="18">
        <v>120.73</v>
      </c>
      <c r="C18" s="18">
        <v>10.3</v>
      </c>
      <c r="D18" s="18">
        <v>217.4</v>
      </c>
      <c r="E18" s="18"/>
      <c r="F18" s="18">
        <v>42.1</v>
      </c>
      <c r="G18" s="18"/>
      <c r="H18" s="18"/>
      <c r="I18" s="18"/>
      <c r="J18" s="18">
        <v>153.80000000000001</v>
      </c>
      <c r="K18" s="18">
        <v>304.91000000000003</v>
      </c>
      <c r="L18" s="20">
        <v>631</v>
      </c>
      <c r="M18" s="18">
        <v>150.27000000000001</v>
      </c>
      <c r="N18" s="18">
        <v>263.54000000000002</v>
      </c>
      <c r="O18" s="18"/>
      <c r="P18" s="18"/>
      <c r="Q18" s="36"/>
      <c r="R18" s="36"/>
      <c r="S18" s="36"/>
      <c r="T18" s="36"/>
      <c r="U18" s="36"/>
      <c r="V18" s="36"/>
      <c r="W18" s="36"/>
      <c r="X18" s="36"/>
      <c r="Y18" s="36"/>
      <c r="Z18" s="36"/>
      <c r="AA18" s="36"/>
      <c r="AB18" s="36"/>
      <c r="AC18" s="36"/>
      <c r="AD18" s="36"/>
      <c r="AE18" s="36"/>
      <c r="AF18" s="36"/>
      <c r="AG18" s="36"/>
      <c r="AH18" s="36"/>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row>
    <row r="19" spans="1:63">
      <c r="A19" s="4">
        <v>1879</v>
      </c>
      <c r="B19" s="18">
        <v>138.03</v>
      </c>
      <c r="C19" s="18">
        <v>11.58</v>
      </c>
      <c r="D19" s="18">
        <v>192.1</v>
      </c>
      <c r="E19" s="18"/>
      <c r="F19" s="18">
        <v>32.700000000000003</v>
      </c>
      <c r="G19" s="18">
        <v>17.5</v>
      </c>
      <c r="H19" s="18"/>
      <c r="I19" s="18"/>
      <c r="J19" s="18">
        <v>152</v>
      </c>
      <c r="K19" s="18">
        <v>288.70999999999998</v>
      </c>
      <c r="L19" s="20">
        <v>663</v>
      </c>
      <c r="M19" s="18">
        <v>159.69999999999999</v>
      </c>
      <c r="N19" s="18">
        <v>316.60000000000002</v>
      </c>
      <c r="O19" s="18"/>
      <c r="P19" s="18"/>
      <c r="Q19" s="36"/>
      <c r="R19" s="36"/>
      <c r="S19" s="36"/>
      <c r="T19" s="36"/>
      <c r="U19" s="36"/>
      <c r="V19" s="36"/>
      <c r="W19" s="36"/>
      <c r="X19" s="36"/>
      <c r="Y19" s="36"/>
      <c r="Z19" s="36"/>
      <c r="AA19" s="36"/>
      <c r="AB19" s="36"/>
      <c r="AC19" s="36"/>
      <c r="AD19" s="36"/>
      <c r="AE19" s="36"/>
      <c r="AF19" s="36"/>
      <c r="AG19" s="36"/>
      <c r="AH19" s="36"/>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63">
      <c r="A20" s="4">
        <v>1880</v>
      </c>
      <c r="B20" s="18">
        <v>145.22999999999999</v>
      </c>
      <c r="C20" s="18">
        <v>15.12</v>
      </c>
      <c r="D20" s="18">
        <v>291.85000000000002</v>
      </c>
      <c r="E20" s="18"/>
      <c r="F20" s="18">
        <v>75.069999999999993</v>
      </c>
      <c r="G20" s="104">
        <v>23.9</v>
      </c>
      <c r="H20" s="18"/>
      <c r="I20" s="18">
        <v>119.62</v>
      </c>
      <c r="J20" s="18">
        <v>148.41</v>
      </c>
      <c r="K20" s="18">
        <v>444.32</v>
      </c>
      <c r="L20" s="20">
        <v>745</v>
      </c>
      <c r="M20" s="104">
        <v>179.7</v>
      </c>
      <c r="N20" s="18">
        <v>266.23</v>
      </c>
      <c r="O20" s="18"/>
      <c r="P20" s="18"/>
      <c r="Q20" s="36"/>
      <c r="R20" s="36"/>
      <c r="S20" s="36"/>
      <c r="T20" s="36"/>
      <c r="U20" s="36"/>
      <c r="V20" s="36"/>
      <c r="W20" s="36"/>
      <c r="X20" s="36"/>
      <c r="Y20" s="36"/>
      <c r="Z20" s="36"/>
      <c r="AA20" s="36"/>
      <c r="AB20" s="36"/>
      <c r="AC20" s="36"/>
      <c r="AD20" s="36"/>
      <c r="AE20" s="36"/>
      <c r="AF20" s="36"/>
      <c r="AG20" s="36"/>
      <c r="AH20" s="36"/>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1:63">
      <c r="A21" s="4">
        <v>1881</v>
      </c>
      <c r="B21" s="18">
        <v>150.21</v>
      </c>
      <c r="C21" s="18">
        <v>14.45</v>
      </c>
      <c r="D21" s="18">
        <v>227.5</v>
      </c>
      <c r="E21" s="18"/>
      <c r="F21" s="18">
        <v>64.180000000000007</v>
      </c>
      <c r="G21" s="18">
        <v>18.059999999999999</v>
      </c>
      <c r="H21" s="18"/>
      <c r="I21" s="18">
        <v>100.73</v>
      </c>
      <c r="J21" s="18">
        <v>147.5</v>
      </c>
      <c r="K21" s="18">
        <v>472.2</v>
      </c>
      <c r="L21" s="20">
        <v>592</v>
      </c>
      <c r="M21" s="18">
        <v>193</v>
      </c>
      <c r="N21" s="18">
        <v>275.22000000000003</v>
      </c>
      <c r="O21" s="18"/>
      <c r="P21" s="18"/>
      <c r="Q21" s="36"/>
      <c r="R21" s="36"/>
      <c r="S21" s="36"/>
      <c r="T21" s="36"/>
      <c r="U21" s="36"/>
      <c r="V21" s="36"/>
      <c r="W21" s="36"/>
      <c r="X21" s="36"/>
      <c r="Y21" s="36"/>
      <c r="Z21" s="36"/>
      <c r="AA21" s="36"/>
      <c r="AB21" s="36"/>
      <c r="AC21" s="36"/>
      <c r="AD21" s="36"/>
      <c r="AE21" s="36"/>
      <c r="AF21" s="36"/>
      <c r="AG21" s="36"/>
      <c r="AH21" s="36"/>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63">
      <c r="A22" s="4">
        <v>1882</v>
      </c>
      <c r="B22" s="18">
        <v>150.85</v>
      </c>
      <c r="C22" s="18">
        <v>14.98</v>
      </c>
      <c r="D22" s="18">
        <v>166.1</v>
      </c>
      <c r="E22" s="18"/>
      <c r="F22" s="18">
        <v>53.67</v>
      </c>
      <c r="G22" s="18">
        <v>20.63</v>
      </c>
      <c r="H22" s="18"/>
      <c r="I22" s="18">
        <v>90.97</v>
      </c>
      <c r="J22" s="18">
        <v>153.4</v>
      </c>
      <c r="K22" s="18">
        <v>530.96</v>
      </c>
      <c r="L22" s="20">
        <v>575</v>
      </c>
      <c r="M22" s="18">
        <v>193</v>
      </c>
      <c r="N22" s="18">
        <v>298.97000000000003</v>
      </c>
      <c r="O22" s="18"/>
      <c r="P22" s="18"/>
      <c r="Q22" s="36"/>
      <c r="R22" s="36"/>
      <c r="S22" s="36"/>
      <c r="T22" s="36"/>
      <c r="U22" s="36"/>
      <c r="V22" s="36"/>
      <c r="W22" s="36"/>
      <c r="X22" s="36"/>
      <c r="Y22" s="36"/>
      <c r="Z22" s="36"/>
      <c r="AA22" s="36"/>
      <c r="AB22" s="36"/>
      <c r="AC22" s="36"/>
      <c r="AD22" s="36"/>
      <c r="AE22" s="36"/>
      <c r="AF22" s="36"/>
      <c r="AG22" s="36"/>
      <c r="AH22" s="36"/>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row>
    <row r="23" spans="1:63">
      <c r="A23" s="4">
        <v>1883</v>
      </c>
      <c r="B23" s="18">
        <v>119.7</v>
      </c>
      <c r="C23" s="18">
        <v>12.12</v>
      </c>
      <c r="D23" s="18">
        <v>204.1</v>
      </c>
      <c r="E23" s="18"/>
      <c r="F23" s="18">
        <v>36.64</v>
      </c>
      <c r="G23" s="18">
        <v>23.62</v>
      </c>
      <c r="H23" s="18"/>
      <c r="I23" s="18">
        <v>73.569999999999993</v>
      </c>
      <c r="J23" s="18">
        <v>165.9</v>
      </c>
      <c r="K23" s="18">
        <v>563.78</v>
      </c>
      <c r="L23" s="20">
        <v>572</v>
      </c>
      <c r="M23" s="18">
        <v>166</v>
      </c>
      <c r="N23" s="18">
        <v>287.88</v>
      </c>
      <c r="O23" s="18"/>
      <c r="P23" s="18"/>
      <c r="Q23" s="36"/>
      <c r="R23" s="36"/>
      <c r="S23" s="36"/>
      <c r="T23" s="36"/>
      <c r="U23" s="36"/>
      <c r="V23" s="36"/>
      <c r="W23" s="36"/>
      <c r="X23" s="36"/>
      <c r="Y23" s="36"/>
      <c r="Z23" s="36"/>
      <c r="AA23" s="36"/>
      <c r="AB23" s="36"/>
      <c r="AC23" s="36"/>
      <c r="AD23" s="36"/>
      <c r="AE23" s="36"/>
      <c r="AF23" s="36"/>
      <c r="AG23" s="36"/>
      <c r="AH23" s="36"/>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row>
    <row r="24" spans="1:63">
      <c r="A24" s="4">
        <v>1884</v>
      </c>
      <c r="B24" s="18">
        <v>104.46</v>
      </c>
      <c r="C24" s="18">
        <v>11.48</v>
      </c>
      <c r="D24" s="18">
        <v>154.5</v>
      </c>
      <c r="E24" s="18"/>
      <c r="F24" s="18">
        <v>38.64</v>
      </c>
      <c r="G24" s="18">
        <v>18.940000000000001</v>
      </c>
      <c r="H24" s="18"/>
      <c r="I24" s="18">
        <v>73.12</v>
      </c>
      <c r="J24" s="18">
        <v>150.74</v>
      </c>
      <c r="K24" s="18">
        <v>541.6</v>
      </c>
      <c r="L24" s="20">
        <v>657</v>
      </c>
      <c r="M24" s="18">
        <v>162.84</v>
      </c>
      <c r="N24" s="18">
        <v>284.2</v>
      </c>
      <c r="O24" s="18"/>
      <c r="P24" s="18"/>
      <c r="Q24" s="36"/>
      <c r="R24" s="36"/>
      <c r="S24" s="36"/>
      <c r="T24" s="36"/>
      <c r="U24" s="36"/>
      <c r="V24" s="36"/>
      <c r="W24" s="36"/>
      <c r="X24" s="36"/>
      <c r="Y24" s="36"/>
      <c r="Z24" s="36"/>
      <c r="AA24" s="36"/>
      <c r="AB24" s="36"/>
      <c r="AC24" s="36"/>
      <c r="AD24" s="36"/>
      <c r="AE24" s="36"/>
      <c r="AF24" s="36"/>
      <c r="AG24" s="36"/>
      <c r="AH24" s="36"/>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row>
    <row r="25" spans="1:63">
      <c r="A25" s="4">
        <v>1885</v>
      </c>
      <c r="B25" s="18">
        <v>97.87</v>
      </c>
      <c r="C25" s="18">
        <v>9.25</v>
      </c>
      <c r="D25" s="18">
        <v>144.69999999999999</v>
      </c>
      <c r="E25" s="18"/>
      <c r="F25" s="18">
        <v>28.84</v>
      </c>
      <c r="G25" s="18">
        <v>14.39</v>
      </c>
      <c r="H25" s="18"/>
      <c r="I25" s="18">
        <v>54.66</v>
      </c>
      <c r="J25" s="18">
        <v>149.12</v>
      </c>
      <c r="K25" s="18">
        <v>463.04</v>
      </c>
      <c r="L25" s="20">
        <v>617</v>
      </c>
      <c r="M25" s="18">
        <v>279.12</v>
      </c>
      <c r="N25" s="18">
        <v>239.47</v>
      </c>
      <c r="O25" s="18"/>
      <c r="P25" s="18"/>
      <c r="Q25" s="36"/>
      <c r="R25" s="36"/>
      <c r="S25" s="36"/>
      <c r="T25" s="36"/>
      <c r="U25" s="36"/>
      <c r="V25" s="36"/>
      <c r="W25" s="36"/>
      <c r="X25" s="36"/>
      <c r="Y25" s="36"/>
      <c r="Z25" s="36"/>
      <c r="AA25" s="36"/>
      <c r="AB25" s="36"/>
      <c r="AC25" s="36"/>
      <c r="AD25" s="36"/>
      <c r="AE25" s="36"/>
      <c r="AF25" s="36"/>
      <c r="AG25" s="36"/>
      <c r="AH25" s="36"/>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row>
    <row r="26" spans="1:63">
      <c r="A26" s="4">
        <v>1886</v>
      </c>
      <c r="B26" s="18">
        <v>92.09</v>
      </c>
      <c r="C26" s="18">
        <v>8.93</v>
      </c>
      <c r="D26" s="18">
        <v>84.7</v>
      </c>
      <c r="E26" s="18"/>
      <c r="F26" s="18">
        <v>43.65</v>
      </c>
      <c r="G26" s="18">
        <v>17.48</v>
      </c>
      <c r="H26" s="18"/>
      <c r="I26" s="18">
        <v>64.14</v>
      </c>
      <c r="J26" s="18">
        <v>108.4</v>
      </c>
      <c r="K26" s="18">
        <v>532.14</v>
      </c>
      <c r="L26" s="20">
        <v>415</v>
      </c>
      <c r="M26" s="18">
        <v>198.27</v>
      </c>
      <c r="N26" s="18">
        <v>299</v>
      </c>
      <c r="O26" s="18"/>
      <c r="P26" s="18"/>
      <c r="Q26" s="36"/>
      <c r="R26" s="36"/>
      <c r="S26" s="36"/>
      <c r="T26" s="36"/>
      <c r="U26" s="36"/>
      <c r="V26" s="36"/>
      <c r="W26" s="36"/>
      <c r="X26" s="36"/>
      <c r="Y26" s="36"/>
      <c r="Z26" s="36"/>
      <c r="AA26" s="36"/>
      <c r="AB26" s="36"/>
      <c r="AC26" s="36"/>
      <c r="AD26" s="36"/>
      <c r="AE26" s="36"/>
      <c r="AF26" s="36"/>
      <c r="AG26" s="36"/>
      <c r="AH26" s="36"/>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1:63">
      <c r="A27" s="4">
        <v>1887</v>
      </c>
      <c r="B27" s="18">
        <v>115.56</v>
      </c>
      <c r="C27" s="18">
        <v>8.5</v>
      </c>
      <c r="D27" s="18">
        <v>158.57</v>
      </c>
      <c r="E27" s="18"/>
      <c r="F27" s="18">
        <v>32.69</v>
      </c>
      <c r="G27" s="18">
        <v>15.91</v>
      </c>
      <c r="H27" s="18">
        <v>35.92</v>
      </c>
      <c r="I27" s="18">
        <v>57.7</v>
      </c>
      <c r="J27" s="18">
        <v>113.19</v>
      </c>
      <c r="K27" s="18">
        <v>551</v>
      </c>
      <c r="L27" s="20">
        <v>388</v>
      </c>
      <c r="M27" s="18">
        <v>194</v>
      </c>
      <c r="N27" s="18">
        <v>282</v>
      </c>
      <c r="O27" s="18"/>
      <c r="P27" s="18"/>
      <c r="Q27" s="36"/>
      <c r="R27" s="36"/>
      <c r="S27" s="36"/>
      <c r="T27" s="36"/>
      <c r="U27" s="36"/>
      <c r="V27" s="36"/>
      <c r="W27" s="36"/>
      <c r="X27" s="36"/>
      <c r="Y27" s="36"/>
      <c r="Z27" s="36"/>
      <c r="AA27" s="36"/>
      <c r="AB27" s="36"/>
      <c r="AC27" s="36"/>
      <c r="AD27" s="36"/>
      <c r="AE27" s="36"/>
      <c r="AF27" s="36"/>
      <c r="AG27" s="36"/>
      <c r="AH27" s="36"/>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row>
    <row r="28" spans="1:63">
      <c r="A28" s="4">
        <v>1888</v>
      </c>
      <c r="B28" s="18">
        <v>56.9</v>
      </c>
      <c r="C28" s="18">
        <v>8.64</v>
      </c>
      <c r="D28" s="18">
        <v>146.6</v>
      </c>
      <c r="E28" s="18"/>
      <c r="F28" s="18">
        <v>32.770000000000003</v>
      </c>
      <c r="G28" s="18">
        <v>23.54</v>
      </c>
      <c r="H28" s="18">
        <v>33.83</v>
      </c>
      <c r="I28" s="18">
        <v>65.33</v>
      </c>
      <c r="J28" s="18">
        <v>81.16</v>
      </c>
      <c r="K28" s="18">
        <v>426.5</v>
      </c>
      <c r="L28" s="20">
        <v>243</v>
      </c>
      <c r="M28" s="18">
        <v>142</v>
      </c>
      <c r="N28" s="18">
        <v>226.5</v>
      </c>
      <c r="O28" s="18"/>
      <c r="P28" s="18"/>
      <c r="Q28" s="36"/>
      <c r="R28" s="36"/>
      <c r="S28" s="36"/>
      <c r="T28" s="36"/>
      <c r="U28" s="36"/>
      <c r="V28" s="36"/>
      <c r="W28" s="36"/>
      <c r="X28" s="36"/>
      <c r="Y28" s="36"/>
      <c r="Z28" s="36"/>
      <c r="AA28" s="36"/>
      <c r="AB28" s="36"/>
      <c r="AC28" s="36"/>
      <c r="AD28" s="36"/>
      <c r="AE28" s="36"/>
      <c r="AF28" s="36"/>
      <c r="AG28" s="36"/>
      <c r="AH28" s="36"/>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row>
    <row r="29" spans="1:63">
      <c r="A29" s="4">
        <v>1889</v>
      </c>
      <c r="B29" s="18">
        <v>79.599999999999994</v>
      </c>
      <c r="C29" s="18">
        <v>8.2799999999999994</v>
      </c>
      <c r="D29" s="18">
        <v>168</v>
      </c>
      <c r="E29" s="18"/>
      <c r="F29" s="18">
        <v>34.840000000000003</v>
      </c>
      <c r="G29" s="18">
        <v>28.12</v>
      </c>
      <c r="H29" s="18">
        <v>33.6</v>
      </c>
      <c r="I29" s="18">
        <v>83.1</v>
      </c>
      <c r="J29" s="18">
        <v>81</v>
      </c>
      <c r="K29" s="18">
        <v>366.1</v>
      </c>
      <c r="L29" s="20">
        <v>217</v>
      </c>
      <c r="M29" s="104">
        <v>127</v>
      </c>
      <c r="N29" s="18">
        <v>205.6</v>
      </c>
      <c r="O29" s="18"/>
      <c r="P29" s="18"/>
      <c r="Q29" s="36"/>
      <c r="R29" s="36"/>
      <c r="S29" s="36"/>
      <c r="T29" s="36"/>
      <c r="U29" s="36"/>
      <c r="V29" s="36"/>
      <c r="W29" s="36"/>
      <c r="X29" s="36"/>
      <c r="Y29" s="36"/>
      <c r="Z29" s="36"/>
      <c r="AA29" s="36"/>
      <c r="AB29" s="36"/>
      <c r="AC29" s="36"/>
      <c r="AD29" s="36"/>
      <c r="AE29" s="36"/>
      <c r="AF29" s="36"/>
      <c r="AG29" s="36"/>
      <c r="AH29" s="36"/>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row>
    <row r="30" spans="1:63">
      <c r="A30" s="4">
        <v>1890</v>
      </c>
      <c r="B30" s="18">
        <v>88.5</v>
      </c>
      <c r="C30" s="18">
        <v>7.44</v>
      </c>
      <c r="D30" s="18">
        <v>179</v>
      </c>
      <c r="E30" s="18"/>
      <c r="F30" s="18">
        <v>30.35</v>
      </c>
      <c r="G30" s="18">
        <v>11.38</v>
      </c>
      <c r="H30" s="18">
        <v>34.700000000000003</v>
      </c>
      <c r="I30" s="18">
        <v>67.5</v>
      </c>
      <c r="J30" s="18">
        <v>97.6</v>
      </c>
      <c r="K30" s="18">
        <v>330.9</v>
      </c>
      <c r="L30" s="20">
        <v>197</v>
      </c>
      <c r="M30" s="18">
        <v>125</v>
      </c>
      <c r="N30" s="18">
        <v>220.8</v>
      </c>
      <c r="O30" s="18"/>
      <c r="P30" s="18"/>
      <c r="Q30" s="36"/>
      <c r="R30" s="36"/>
      <c r="S30" s="36"/>
      <c r="T30" s="36"/>
      <c r="U30" s="36"/>
      <c r="V30" s="36"/>
      <c r="W30" s="36"/>
      <c r="X30" s="36"/>
      <c r="Y30" s="36"/>
      <c r="Z30" s="36"/>
      <c r="AA30" s="36"/>
      <c r="AB30" s="36"/>
      <c r="AC30" s="36"/>
      <c r="AD30" s="36"/>
      <c r="AE30" s="36"/>
      <c r="AF30" s="36"/>
      <c r="AG30" s="36"/>
      <c r="AH30" s="36"/>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row>
    <row r="31" spans="1:63">
      <c r="A31" s="4">
        <v>1891</v>
      </c>
      <c r="B31" s="104">
        <v>89.67</v>
      </c>
      <c r="C31" s="18">
        <v>6.85</v>
      </c>
      <c r="D31" s="18">
        <v>161</v>
      </c>
      <c r="E31" s="18"/>
      <c r="F31" s="18">
        <v>41.04</v>
      </c>
      <c r="G31" s="18">
        <v>23.88</v>
      </c>
      <c r="H31" s="18">
        <v>42.2</v>
      </c>
      <c r="I31" s="18">
        <v>66.8</v>
      </c>
      <c r="J31" s="18">
        <v>99.01</v>
      </c>
      <c r="K31" s="18">
        <v>302.2</v>
      </c>
      <c r="L31" s="20">
        <v>172</v>
      </c>
      <c r="M31" s="18">
        <v>126</v>
      </c>
      <c r="N31" s="18">
        <v>202</v>
      </c>
      <c r="O31" s="18"/>
      <c r="P31" s="18"/>
      <c r="Q31" s="36"/>
      <c r="R31" s="36"/>
      <c r="S31" s="36"/>
      <c r="T31" s="36"/>
      <c r="U31" s="36"/>
      <c r="V31" s="36"/>
      <c r="W31" s="36"/>
      <c r="X31" s="36"/>
      <c r="Y31" s="36"/>
      <c r="Z31" s="36"/>
      <c r="AA31" s="36"/>
      <c r="AB31" s="36"/>
      <c r="AC31" s="36"/>
      <c r="AD31" s="36"/>
      <c r="AE31" s="36"/>
      <c r="AF31" s="36"/>
      <c r="AG31" s="36"/>
      <c r="AH31" s="36"/>
      <c r="AI31" s="18"/>
      <c r="AJ31" s="18"/>
      <c r="AK31" s="18"/>
      <c r="AL31" s="18"/>
      <c r="AM31" s="18"/>
      <c r="AN31" s="18"/>
      <c r="AO31" s="18"/>
      <c r="AP31" s="18"/>
      <c r="AQ31" s="18"/>
      <c r="AR31" s="23">
        <v>395555</v>
      </c>
      <c r="AS31" s="23">
        <v>23733312</v>
      </c>
      <c r="AT31" s="22">
        <f t="shared" ref="AT31:AT53" si="0">AS31/AR31</f>
        <v>60.00003033712126</v>
      </c>
      <c r="AU31" s="23">
        <v>65909</v>
      </c>
      <c r="AV31" s="23">
        <v>1384088</v>
      </c>
      <c r="AW31" s="22">
        <f t="shared" ref="AW31:AW53" si="1">AV31/AU31</f>
        <v>20.999984827565278</v>
      </c>
      <c r="AX31" s="23">
        <v>12213</v>
      </c>
      <c r="AY31" s="23">
        <v>732798</v>
      </c>
      <c r="AZ31" s="23">
        <f>AY31/AX31</f>
        <v>60.001473839351512</v>
      </c>
      <c r="BA31" s="23">
        <v>7015</v>
      </c>
      <c r="BB31" s="29">
        <v>361230</v>
      </c>
      <c r="BC31" s="23">
        <f>BB31/BA31</f>
        <v>51.493941553813258</v>
      </c>
      <c r="BD31" s="23"/>
      <c r="BE31" s="23"/>
      <c r="BF31" s="23"/>
      <c r="BG31" s="23"/>
      <c r="BH31" s="23"/>
      <c r="BI31" s="23"/>
      <c r="BJ31" s="23"/>
      <c r="BK31" s="23"/>
    </row>
    <row r="32" spans="1:63">
      <c r="A32" s="4">
        <v>1892</v>
      </c>
      <c r="B32" s="18">
        <v>85.04</v>
      </c>
      <c r="C32" s="18">
        <v>15.4</v>
      </c>
      <c r="D32" s="18">
        <v>160</v>
      </c>
      <c r="E32" s="18"/>
      <c r="F32" s="19">
        <f>AT32</f>
        <v>31.260958073642339</v>
      </c>
      <c r="G32" s="19">
        <f>AW32</f>
        <v>19.198383172435445</v>
      </c>
      <c r="H32" s="19">
        <f>AZ32</f>
        <v>59.232326052062248</v>
      </c>
      <c r="I32" s="19">
        <f>BC32</f>
        <v>54.328664650644598</v>
      </c>
      <c r="J32" s="18">
        <v>98.5</v>
      </c>
      <c r="K32" s="18">
        <v>307</v>
      </c>
      <c r="L32" s="20">
        <v>189</v>
      </c>
      <c r="M32" s="18">
        <v>117</v>
      </c>
      <c r="N32" s="18">
        <v>167.6</v>
      </c>
      <c r="O32" s="18"/>
      <c r="P32" s="18"/>
      <c r="Q32" s="36"/>
      <c r="R32" s="36"/>
      <c r="S32" s="36"/>
      <c r="T32" s="36"/>
      <c r="U32" s="36"/>
      <c r="V32" s="36"/>
      <c r="W32" s="36"/>
      <c r="X32" s="36"/>
      <c r="Y32" s="36"/>
      <c r="Z32" s="36"/>
      <c r="AA32" s="36"/>
      <c r="AB32" s="36"/>
      <c r="AC32" s="36"/>
      <c r="AD32" s="36"/>
      <c r="AE32" s="36"/>
      <c r="AF32" s="36"/>
      <c r="AG32" s="36"/>
      <c r="AH32" s="36"/>
      <c r="AI32" s="18"/>
      <c r="AJ32" s="18"/>
      <c r="AK32" s="18"/>
      <c r="AL32" s="18"/>
      <c r="AM32" s="18"/>
      <c r="AN32" s="18"/>
      <c r="AO32" s="18"/>
      <c r="AP32" s="18"/>
      <c r="AQ32" s="18"/>
      <c r="AR32" s="23">
        <v>470110</v>
      </c>
      <c r="AS32" s="23">
        <v>14696089</v>
      </c>
      <c r="AT32" s="22">
        <f t="shared" si="0"/>
        <v>31.260958073642339</v>
      </c>
      <c r="AU32" s="23">
        <v>445935</v>
      </c>
      <c r="AV32" s="23">
        <v>8561231</v>
      </c>
      <c r="AW32" s="22">
        <f t="shared" si="1"/>
        <v>19.198383172435445</v>
      </c>
      <c r="AX32" s="23">
        <v>42987</v>
      </c>
      <c r="AY32" s="23">
        <v>2546220</v>
      </c>
      <c r="AZ32" s="23">
        <f t="shared" ref="AZ32:AZ53" si="2">AY32/AX32</f>
        <v>59.232326052062248</v>
      </c>
      <c r="BA32" s="23">
        <v>18849</v>
      </c>
      <c r="BB32" s="29">
        <v>1024041</v>
      </c>
      <c r="BC32" s="23">
        <f t="shared" ref="BC32:BC53" si="3">BB32/BA32</f>
        <v>54.328664650644598</v>
      </c>
      <c r="BD32" s="23"/>
      <c r="BE32" s="23"/>
      <c r="BF32" s="23"/>
      <c r="BG32" s="23"/>
      <c r="BH32" s="23"/>
      <c r="BI32" s="23"/>
      <c r="BJ32" s="23"/>
      <c r="BK32" s="23"/>
    </row>
    <row r="33" spans="1:67">
      <c r="A33" s="4">
        <v>1893</v>
      </c>
      <c r="B33" s="18">
        <v>105.06</v>
      </c>
      <c r="C33" s="18">
        <v>15.4</v>
      </c>
      <c r="D33" s="18">
        <v>159</v>
      </c>
      <c r="E33" s="18">
        <v>522.12</v>
      </c>
      <c r="F33" s="19">
        <f t="shared" ref="F33:F52" si="4">AT33</f>
        <v>23.270573344694224</v>
      </c>
      <c r="G33" s="19">
        <f t="shared" ref="G33:G53" si="5">AW33</f>
        <v>18.677911351965356</v>
      </c>
      <c r="H33" s="19">
        <f t="shared" ref="H33:H53" si="6">AZ33</f>
        <v>40.000207759110239</v>
      </c>
      <c r="I33" s="19">
        <f t="shared" ref="I33:I53" si="7">BC33</f>
        <v>34.772026054165238</v>
      </c>
      <c r="J33" s="18">
        <v>118</v>
      </c>
      <c r="K33" s="18">
        <v>322.5</v>
      </c>
      <c r="L33" s="20">
        <v>195</v>
      </c>
      <c r="M33" s="18">
        <v>125</v>
      </c>
      <c r="N33" s="18">
        <v>186.7</v>
      </c>
      <c r="O33" s="18"/>
      <c r="P33" s="18"/>
      <c r="Q33" s="36"/>
      <c r="R33" s="36"/>
      <c r="S33" s="36"/>
      <c r="T33" s="36"/>
      <c r="U33" s="36"/>
      <c r="V33" s="36"/>
      <c r="W33" s="36"/>
      <c r="X33" s="36"/>
      <c r="Y33" s="36"/>
      <c r="Z33" s="36"/>
      <c r="AA33" s="36"/>
      <c r="AB33" s="36"/>
      <c r="AC33" s="36"/>
      <c r="AD33" s="36"/>
      <c r="AE33" s="36"/>
      <c r="AF33" s="36"/>
      <c r="AG33" s="36"/>
      <c r="AH33" s="36"/>
      <c r="AI33" s="18"/>
      <c r="AJ33" s="18"/>
      <c r="AK33" s="18"/>
      <c r="AL33" s="18"/>
      <c r="AM33" s="18"/>
      <c r="AN33" s="18"/>
      <c r="AO33" s="18"/>
      <c r="AP33" s="18"/>
      <c r="AQ33" s="18"/>
      <c r="AR33" s="23">
        <v>1008137</v>
      </c>
      <c r="AS33" s="23">
        <v>23459926</v>
      </c>
      <c r="AT33" s="22">
        <f t="shared" si="0"/>
        <v>23.270573344694224</v>
      </c>
      <c r="AU33" s="23">
        <v>84514</v>
      </c>
      <c r="AV33" s="23">
        <v>1578545</v>
      </c>
      <c r="AW33" s="22">
        <f t="shared" si="1"/>
        <v>18.677911351965356</v>
      </c>
      <c r="AX33" s="23">
        <v>72199</v>
      </c>
      <c r="AY33" s="23">
        <v>2887975</v>
      </c>
      <c r="AZ33" s="23">
        <f t="shared" si="2"/>
        <v>40.000207759110239</v>
      </c>
      <c r="BA33" s="23">
        <v>37921</v>
      </c>
      <c r="BB33" s="29">
        <v>1318590</v>
      </c>
      <c r="BC33" s="23">
        <f t="shared" si="3"/>
        <v>34.772026054165238</v>
      </c>
      <c r="BD33" s="23"/>
      <c r="BE33" s="23"/>
      <c r="BF33" s="23"/>
      <c r="BG33" s="23"/>
      <c r="BH33" s="23"/>
      <c r="BI33" s="23"/>
      <c r="BJ33" s="23"/>
      <c r="BK33" s="23"/>
    </row>
    <row r="34" spans="1:67">
      <c r="A34" s="4">
        <v>1894</v>
      </c>
      <c r="B34" s="18">
        <v>106.54</v>
      </c>
      <c r="C34" s="18">
        <v>23.91</v>
      </c>
      <c r="D34" s="18">
        <v>136</v>
      </c>
      <c r="E34" s="18">
        <v>304.45999999999998</v>
      </c>
      <c r="F34" s="19">
        <f t="shared" si="4"/>
        <v>16.861905090567443</v>
      </c>
      <c r="G34" s="19">
        <f t="shared" si="5"/>
        <v>19.061283621255193</v>
      </c>
      <c r="H34" s="19">
        <f t="shared" si="6"/>
        <v>34.312816584478384</v>
      </c>
      <c r="I34" s="19">
        <f t="shared" si="7"/>
        <v>25.024068894450171</v>
      </c>
      <c r="J34" s="18">
        <v>98.1</v>
      </c>
      <c r="K34" s="18">
        <v>325</v>
      </c>
      <c r="L34" s="20">
        <v>175</v>
      </c>
      <c r="M34" s="18">
        <v>133</v>
      </c>
      <c r="N34" s="18">
        <v>170</v>
      </c>
      <c r="O34" s="18"/>
      <c r="P34" s="18"/>
      <c r="Q34" s="36"/>
      <c r="R34" s="36"/>
      <c r="S34" s="36"/>
      <c r="T34" s="36"/>
      <c r="U34" s="36"/>
      <c r="V34" s="36"/>
      <c r="W34" s="36"/>
      <c r="X34" s="36"/>
      <c r="Y34" s="36"/>
      <c r="Z34" s="36"/>
      <c r="AA34" s="36"/>
      <c r="AB34" s="36"/>
      <c r="AC34" s="36"/>
      <c r="AD34" s="36"/>
      <c r="AE34" s="36"/>
      <c r="AF34" s="36"/>
      <c r="AG34" s="36"/>
      <c r="AH34" s="36"/>
      <c r="AI34" s="18"/>
      <c r="AJ34" s="18"/>
      <c r="AK34" s="18"/>
      <c r="AL34" s="18"/>
      <c r="AM34" s="18"/>
      <c r="AN34" s="18"/>
      <c r="AO34" s="18"/>
      <c r="AP34" s="18"/>
      <c r="AQ34" s="18"/>
      <c r="AR34" s="23">
        <v>1608249</v>
      </c>
      <c r="AS34" s="23">
        <v>27118142</v>
      </c>
      <c r="AT34" s="22">
        <f t="shared" si="0"/>
        <v>16.861905090567443</v>
      </c>
      <c r="AU34" s="23">
        <v>54876</v>
      </c>
      <c r="AV34" s="23">
        <v>1046007</v>
      </c>
      <c r="AW34" s="22">
        <f t="shared" si="1"/>
        <v>19.061283621255193</v>
      </c>
      <c r="AX34" s="23">
        <v>104435</v>
      </c>
      <c r="AY34" s="23">
        <v>3583459</v>
      </c>
      <c r="AZ34" s="23">
        <f t="shared" si="2"/>
        <v>34.312816584478384</v>
      </c>
      <c r="BA34" s="23">
        <v>40758</v>
      </c>
      <c r="BB34" s="29">
        <v>1019931</v>
      </c>
      <c r="BC34" s="23">
        <f t="shared" si="3"/>
        <v>25.024068894450171</v>
      </c>
      <c r="BD34" s="23"/>
      <c r="BE34" s="23"/>
      <c r="BF34" s="23"/>
      <c r="BG34" s="23"/>
      <c r="BH34" s="23"/>
      <c r="BI34" s="23"/>
      <c r="BJ34" s="23"/>
      <c r="BK34" s="23"/>
    </row>
    <row r="35" spans="1:67">
      <c r="A35" s="4">
        <v>1895</v>
      </c>
      <c r="B35" s="18">
        <v>78.22</v>
      </c>
      <c r="C35" s="18">
        <v>25.27</v>
      </c>
      <c r="D35" s="18">
        <v>120</v>
      </c>
      <c r="E35" s="18">
        <v>471.88</v>
      </c>
      <c r="F35" s="19">
        <f t="shared" si="4"/>
        <v>19.27373006595273</v>
      </c>
      <c r="G35" s="19">
        <f t="shared" si="5"/>
        <v>13.198369065592152</v>
      </c>
      <c r="H35" s="19">
        <f t="shared" si="6"/>
        <v>29.977651812489373</v>
      </c>
      <c r="I35" s="19">
        <f t="shared" si="7"/>
        <v>34.900639658848611</v>
      </c>
      <c r="J35" s="18">
        <v>84.05</v>
      </c>
      <c r="K35" s="18">
        <v>373</v>
      </c>
      <c r="L35" s="20">
        <v>316</v>
      </c>
      <c r="M35" s="18">
        <v>177</v>
      </c>
      <c r="N35" s="18">
        <v>167</v>
      </c>
      <c r="O35" s="18"/>
      <c r="P35" s="18"/>
      <c r="Q35" s="36"/>
      <c r="R35" s="36"/>
      <c r="S35" s="36"/>
      <c r="T35" s="36"/>
      <c r="U35" s="36"/>
      <c r="V35" s="36"/>
      <c r="W35" s="36"/>
      <c r="X35" s="36"/>
      <c r="Y35" s="36"/>
      <c r="Z35" s="36"/>
      <c r="AA35" s="36"/>
      <c r="AB35" s="36"/>
      <c r="AC35" s="36"/>
      <c r="AD35" s="36"/>
      <c r="AE35" s="36"/>
      <c r="AF35" s="36"/>
      <c r="AG35" s="36"/>
      <c r="AH35" s="36"/>
      <c r="AI35" s="18"/>
      <c r="AJ35" s="18"/>
      <c r="AK35" s="18"/>
      <c r="AL35" s="18"/>
      <c r="AM35" s="18"/>
      <c r="AN35" s="18"/>
      <c r="AO35" s="18"/>
      <c r="AP35" s="18"/>
      <c r="AQ35" s="18"/>
      <c r="AR35" s="23">
        <v>1010269</v>
      </c>
      <c r="AS35" s="23">
        <v>19471652</v>
      </c>
      <c r="AT35" s="22">
        <f t="shared" si="0"/>
        <v>19.27373006595273</v>
      </c>
      <c r="AU35" s="23">
        <v>772318</v>
      </c>
      <c r="AV35" s="23">
        <v>10193338</v>
      </c>
      <c r="AW35" s="22">
        <f t="shared" si="1"/>
        <v>13.198369065592152</v>
      </c>
      <c r="AX35" s="23">
        <v>276443</v>
      </c>
      <c r="AY35" s="23">
        <v>8287112</v>
      </c>
      <c r="AZ35" s="23">
        <f t="shared" si="2"/>
        <v>29.977651812489373</v>
      </c>
      <c r="BA35" s="23">
        <v>53935</v>
      </c>
      <c r="BB35" s="29">
        <v>1882366</v>
      </c>
      <c r="BC35" s="23">
        <f t="shared" si="3"/>
        <v>34.900639658848611</v>
      </c>
      <c r="BD35" s="23"/>
      <c r="BE35" s="23"/>
      <c r="BF35" s="23"/>
      <c r="BG35" s="23"/>
      <c r="BH35" s="23"/>
      <c r="BI35" s="23"/>
      <c r="BJ35" s="23"/>
      <c r="BK35" s="23"/>
    </row>
    <row r="36" spans="1:67">
      <c r="A36" s="4">
        <v>1896</v>
      </c>
      <c r="B36" s="18">
        <v>64.16</v>
      </c>
      <c r="C36" s="18">
        <v>25.28</v>
      </c>
      <c r="D36" s="18">
        <v>132</v>
      </c>
      <c r="E36" s="18">
        <v>478</v>
      </c>
      <c r="F36" s="19">
        <f t="shared" si="4"/>
        <v>24.116501441723905</v>
      </c>
      <c r="G36" s="19">
        <f t="shared" si="5"/>
        <v>10.184261615760924</v>
      </c>
      <c r="H36" s="19">
        <f t="shared" si="6"/>
        <v>29.851337759878088</v>
      </c>
      <c r="I36" s="19">
        <f t="shared" si="7"/>
        <v>37.685687775458128</v>
      </c>
      <c r="J36" s="18">
        <v>76.5</v>
      </c>
      <c r="K36" s="18">
        <v>373</v>
      </c>
      <c r="L36" s="20">
        <v>285</v>
      </c>
      <c r="M36" s="18">
        <v>173</v>
      </c>
      <c r="N36" s="18">
        <v>201</v>
      </c>
      <c r="O36" s="18"/>
      <c r="P36" s="18"/>
      <c r="Q36" s="36"/>
      <c r="R36" s="36"/>
      <c r="S36" s="36"/>
      <c r="T36" s="36"/>
      <c r="U36" s="36"/>
      <c r="V36" s="36"/>
      <c r="W36" s="36"/>
      <c r="X36" s="36"/>
      <c r="Y36" s="36"/>
      <c r="Z36" s="36"/>
      <c r="AA36" s="36"/>
      <c r="AB36" s="36"/>
      <c r="AC36" s="36"/>
      <c r="AD36" s="36"/>
      <c r="AE36" s="36"/>
      <c r="AF36" s="36"/>
      <c r="AG36" s="36"/>
      <c r="AH36" s="36"/>
      <c r="AI36" s="21">
        <v>45907</v>
      </c>
      <c r="AJ36" s="21">
        <v>3217541</v>
      </c>
      <c r="AK36" s="22">
        <f>AJ36/AI36</f>
        <v>70.08824362297689</v>
      </c>
      <c r="AL36" s="21"/>
      <c r="AM36" s="21"/>
      <c r="AN36" s="21"/>
      <c r="AO36" s="21"/>
      <c r="AP36" s="21"/>
      <c r="AQ36" s="21"/>
      <c r="AR36" s="23">
        <v>532002</v>
      </c>
      <c r="AS36" s="23">
        <v>12830027</v>
      </c>
      <c r="AT36" s="22">
        <f t="shared" si="0"/>
        <v>24.116501441723905</v>
      </c>
      <c r="AU36" s="23">
        <v>1570517</v>
      </c>
      <c r="AV36" s="23">
        <v>15994556</v>
      </c>
      <c r="AW36" s="22">
        <f t="shared" si="1"/>
        <v>10.184261615760924</v>
      </c>
      <c r="AX36" s="23">
        <v>229675</v>
      </c>
      <c r="AY36" s="23">
        <v>6856106</v>
      </c>
      <c r="AZ36" s="23">
        <f t="shared" si="2"/>
        <v>29.851337759878088</v>
      </c>
      <c r="BA36" s="23">
        <v>51732</v>
      </c>
      <c r="BB36" s="29">
        <v>1949556</v>
      </c>
      <c r="BC36" s="23">
        <f t="shared" si="3"/>
        <v>37.685687775458128</v>
      </c>
      <c r="BD36" s="23"/>
      <c r="BE36" s="23"/>
      <c r="BF36" s="23"/>
      <c r="BG36" s="23"/>
      <c r="BH36" s="23"/>
      <c r="BI36" s="23"/>
      <c r="BJ36" s="23"/>
      <c r="BK36" s="23"/>
    </row>
    <row r="37" spans="1:67">
      <c r="A37" s="4">
        <v>1897</v>
      </c>
      <c r="B37" s="19">
        <f>AK37</f>
        <v>68.058750482918484</v>
      </c>
      <c r="C37" s="18">
        <v>24.82</v>
      </c>
      <c r="D37" s="18">
        <v>107</v>
      </c>
      <c r="E37" s="18">
        <v>509</v>
      </c>
      <c r="F37" s="19">
        <f t="shared" si="4"/>
        <v>34.074829397614025</v>
      </c>
      <c r="G37" s="19">
        <f t="shared" si="5"/>
        <v>14.61217468301764</v>
      </c>
      <c r="H37" s="19">
        <f t="shared" si="6"/>
        <v>30.750740104753287</v>
      </c>
      <c r="I37" s="19">
        <f t="shared" si="7"/>
        <v>58.193639456603044</v>
      </c>
      <c r="J37" s="18">
        <v>88.12</v>
      </c>
      <c r="K37" s="18">
        <v>449</v>
      </c>
      <c r="L37" s="20">
        <v>298</v>
      </c>
      <c r="M37" s="18">
        <v>153</v>
      </c>
      <c r="N37" s="18">
        <v>188</v>
      </c>
      <c r="O37" s="18"/>
      <c r="P37" s="18"/>
      <c r="Q37" s="36"/>
      <c r="R37" s="36"/>
      <c r="S37" s="36"/>
      <c r="T37" s="36"/>
      <c r="U37" s="36"/>
      <c r="V37" s="36"/>
      <c r="W37" s="36"/>
      <c r="X37" s="36"/>
      <c r="Y37" s="36"/>
      <c r="Z37" s="36"/>
      <c r="AA37" s="36"/>
      <c r="AB37" s="36"/>
      <c r="AC37" s="36"/>
      <c r="AD37" s="36"/>
      <c r="AE37" s="36"/>
      <c r="AF37" s="36"/>
      <c r="AG37" s="36"/>
      <c r="AH37" s="36"/>
      <c r="AI37" s="21">
        <v>36238</v>
      </c>
      <c r="AJ37" s="21">
        <v>2466313</v>
      </c>
      <c r="AK37" s="22">
        <f t="shared" ref="AK37:AK53" si="8">AJ37/AI37</f>
        <v>68.058750482918484</v>
      </c>
      <c r="AL37" s="21"/>
      <c r="AM37" s="21"/>
      <c r="AN37" s="21"/>
      <c r="AO37" s="21"/>
      <c r="AP37" s="21"/>
      <c r="AQ37" s="21"/>
      <c r="AR37" s="23">
        <v>101845</v>
      </c>
      <c r="AS37" s="23">
        <v>3470351</v>
      </c>
      <c r="AT37" s="22">
        <f t="shared" si="0"/>
        <v>34.074829397614025</v>
      </c>
      <c r="AU37" s="23">
        <v>374942</v>
      </c>
      <c r="AV37" s="23">
        <v>5478718</v>
      </c>
      <c r="AW37" s="22">
        <f t="shared" si="1"/>
        <v>14.61217468301764</v>
      </c>
      <c r="AX37" s="23">
        <v>162477</v>
      </c>
      <c r="AY37" s="23">
        <v>4996288</v>
      </c>
      <c r="AZ37" s="23">
        <f t="shared" si="2"/>
        <v>30.750740104753287</v>
      </c>
      <c r="BA37" s="23">
        <v>41443</v>
      </c>
      <c r="BB37" s="29">
        <v>2411719</v>
      </c>
      <c r="BC37" s="23">
        <f t="shared" si="3"/>
        <v>58.193639456603044</v>
      </c>
      <c r="BD37" s="23"/>
      <c r="BE37" s="23"/>
      <c r="BF37" s="23"/>
      <c r="BG37" s="23"/>
      <c r="BH37" s="23"/>
      <c r="BI37" s="23"/>
      <c r="BJ37" s="23"/>
      <c r="BK37" s="23"/>
    </row>
    <row r="38" spans="1:67">
      <c r="A38" s="4">
        <v>1898</v>
      </c>
      <c r="B38" s="19">
        <f t="shared" ref="B38:B53" si="9">AK38</f>
        <v>95.156370829961332</v>
      </c>
      <c r="C38" s="18">
        <v>25.74</v>
      </c>
      <c r="D38" s="18">
        <v>140</v>
      </c>
      <c r="E38" s="18">
        <v>589</v>
      </c>
      <c r="F38" s="19">
        <f t="shared" si="4"/>
        <v>34.671810602314771</v>
      </c>
      <c r="G38" s="19">
        <f t="shared" si="5"/>
        <v>12.932829920304558</v>
      </c>
      <c r="H38" s="19">
        <f t="shared" si="6"/>
        <v>34.108839299199516</v>
      </c>
      <c r="I38" s="19">
        <f t="shared" si="7"/>
        <v>49.869883819246546</v>
      </c>
      <c r="J38" s="18">
        <v>84.75</v>
      </c>
      <c r="K38" s="18">
        <v>415</v>
      </c>
      <c r="L38" s="20">
        <v>290</v>
      </c>
      <c r="M38" s="18">
        <v>187.5</v>
      </c>
      <c r="N38" s="18">
        <v>258</v>
      </c>
      <c r="O38" s="18"/>
      <c r="P38" s="18"/>
      <c r="Q38" s="36"/>
      <c r="R38" s="36"/>
      <c r="S38" s="36"/>
      <c r="T38" s="36"/>
      <c r="U38" s="36"/>
      <c r="V38" s="36"/>
      <c r="W38" s="36"/>
      <c r="X38" s="36"/>
      <c r="Y38" s="36"/>
      <c r="Z38" s="36"/>
      <c r="AA38" s="36"/>
      <c r="AB38" s="36"/>
      <c r="AC38" s="36"/>
      <c r="AD38" s="36"/>
      <c r="AE38" s="36"/>
      <c r="AF38" s="36"/>
      <c r="AG38" s="36"/>
      <c r="AH38" s="36"/>
      <c r="AI38" s="21">
        <v>22242</v>
      </c>
      <c r="AJ38" s="21">
        <v>2116468</v>
      </c>
      <c r="AK38" s="22">
        <f t="shared" si="8"/>
        <v>95.156370829961332</v>
      </c>
      <c r="AL38" s="21"/>
      <c r="AM38" s="21"/>
      <c r="AN38" s="21"/>
      <c r="AO38" s="21"/>
      <c r="AP38" s="21"/>
      <c r="AQ38" s="21"/>
      <c r="AR38" s="23">
        <v>645161</v>
      </c>
      <c r="AS38" s="23">
        <v>22368900</v>
      </c>
      <c r="AT38" s="22">
        <f t="shared" si="0"/>
        <v>34.671810602314771</v>
      </c>
      <c r="AU38" s="23">
        <v>717105</v>
      </c>
      <c r="AV38" s="23">
        <v>9274197</v>
      </c>
      <c r="AW38" s="22">
        <f t="shared" si="1"/>
        <v>12.932829920304558</v>
      </c>
      <c r="AX38" s="23">
        <v>158904</v>
      </c>
      <c r="AY38" s="23">
        <v>5420031</v>
      </c>
      <c r="AZ38" s="23">
        <f t="shared" si="2"/>
        <v>34.108839299199516</v>
      </c>
      <c r="BA38" s="23">
        <v>31933</v>
      </c>
      <c r="BB38" s="29">
        <v>1592495</v>
      </c>
      <c r="BC38" s="23">
        <f t="shared" si="3"/>
        <v>49.869883819246546</v>
      </c>
      <c r="BD38" s="23"/>
      <c r="BE38" s="23"/>
      <c r="BF38" s="23"/>
      <c r="BG38" s="23"/>
      <c r="BH38" s="23"/>
      <c r="BI38" s="23"/>
      <c r="BJ38" s="23"/>
      <c r="BK38" s="23"/>
    </row>
    <row r="39" spans="1:67">
      <c r="A39" s="4">
        <v>1899</v>
      </c>
      <c r="B39" s="19">
        <f t="shared" si="9"/>
        <v>106.36678146524734</v>
      </c>
      <c r="C39" s="18">
        <v>28.51</v>
      </c>
      <c r="D39" s="18">
        <v>210</v>
      </c>
      <c r="E39" s="18">
        <v>374</v>
      </c>
      <c r="F39" s="19">
        <f t="shared" si="4"/>
        <v>22.223472930597065</v>
      </c>
      <c r="G39" s="19">
        <f t="shared" si="5"/>
        <v>11.684371069520441</v>
      </c>
      <c r="H39" s="19">
        <f t="shared" si="6"/>
        <v>34.001129927932645</v>
      </c>
      <c r="I39" s="19">
        <f t="shared" si="7"/>
        <v>32.595873133324368</v>
      </c>
      <c r="J39" s="18">
        <v>94.4</v>
      </c>
      <c r="K39" s="18">
        <v>453</v>
      </c>
      <c r="L39" s="20">
        <v>329</v>
      </c>
      <c r="M39" s="18">
        <v>189.7</v>
      </c>
      <c r="N39" s="18">
        <v>288</v>
      </c>
      <c r="O39" s="18"/>
      <c r="P39" s="18"/>
      <c r="Q39" s="36"/>
      <c r="R39" s="36"/>
      <c r="S39" s="36"/>
      <c r="T39" s="36"/>
      <c r="U39" s="36"/>
      <c r="V39" s="36"/>
      <c r="W39" s="36"/>
      <c r="X39" s="36"/>
      <c r="Y39" s="36"/>
      <c r="Z39" s="36"/>
      <c r="AA39" s="36"/>
      <c r="AB39" s="36"/>
      <c r="AC39" s="36"/>
      <c r="AD39" s="36"/>
      <c r="AE39" s="36"/>
      <c r="AF39" s="36"/>
      <c r="AG39" s="36"/>
      <c r="AH39" s="36"/>
      <c r="AI39" s="21">
        <v>19164</v>
      </c>
      <c r="AJ39" s="21">
        <v>2038413</v>
      </c>
      <c r="AK39" s="22">
        <f t="shared" si="8"/>
        <v>106.36678146524734</v>
      </c>
      <c r="AL39" s="21"/>
      <c r="AM39" s="21"/>
      <c r="AN39" s="21"/>
      <c r="AO39" s="21"/>
      <c r="AP39" s="21"/>
      <c r="AQ39" s="21"/>
      <c r="AR39" s="23">
        <v>1713429</v>
      </c>
      <c r="AS39" s="23">
        <v>38078343</v>
      </c>
      <c r="AT39" s="22">
        <f t="shared" si="0"/>
        <v>22.223472930597065</v>
      </c>
      <c r="AU39" s="23">
        <v>1116276</v>
      </c>
      <c r="AV39" s="23">
        <v>13042983</v>
      </c>
      <c r="AW39" s="22">
        <f t="shared" si="1"/>
        <v>11.684371069520441</v>
      </c>
      <c r="AX39" s="23">
        <v>217713</v>
      </c>
      <c r="AY39" s="23">
        <v>7402488</v>
      </c>
      <c r="AZ39" s="23">
        <f t="shared" si="2"/>
        <v>34.001129927932645</v>
      </c>
      <c r="BA39" s="23">
        <v>59464</v>
      </c>
      <c r="BB39" s="23">
        <v>1938281</v>
      </c>
      <c r="BC39" s="23">
        <f t="shared" si="3"/>
        <v>32.595873133324368</v>
      </c>
      <c r="BD39" s="23"/>
      <c r="BE39" s="23"/>
      <c r="BF39" s="23"/>
      <c r="BG39" s="23"/>
      <c r="BH39" s="23"/>
      <c r="BI39" s="23"/>
      <c r="BJ39" s="23"/>
      <c r="BK39" s="23"/>
    </row>
    <row r="40" spans="1:67">
      <c r="A40" s="4">
        <v>1900</v>
      </c>
      <c r="B40" s="19">
        <f t="shared" si="9"/>
        <v>120.34512736336555</v>
      </c>
      <c r="C40" s="18">
        <v>38.25</v>
      </c>
      <c r="D40" s="18">
        <v>210</v>
      </c>
      <c r="E40" s="18">
        <v>637</v>
      </c>
      <c r="F40" s="19">
        <f t="shared" si="4"/>
        <v>25.199905580004103</v>
      </c>
      <c r="G40" s="19">
        <f t="shared" si="5"/>
        <v>16.731553400780655</v>
      </c>
      <c r="H40" s="19">
        <f t="shared" si="6"/>
        <v>47.810420277975609</v>
      </c>
      <c r="I40" s="19">
        <f t="shared" si="7"/>
        <v>33.554381579204346</v>
      </c>
      <c r="J40" s="18">
        <v>112.6</v>
      </c>
      <c r="K40" s="18">
        <v>502</v>
      </c>
      <c r="L40" s="20">
        <v>332</v>
      </c>
      <c r="M40" s="18">
        <v>199</v>
      </c>
      <c r="N40" s="18">
        <v>256</v>
      </c>
      <c r="O40" s="18"/>
      <c r="P40" s="18"/>
      <c r="Q40" s="36"/>
      <c r="R40" s="36"/>
      <c r="S40" s="36"/>
      <c r="T40" s="36"/>
      <c r="U40" s="36"/>
      <c r="V40" s="36"/>
      <c r="W40" s="36"/>
      <c r="X40" s="36"/>
      <c r="Y40" s="36"/>
      <c r="Z40" s="36"/>
      <c r="AA40" s="36"/>
      <c r="AB40" s="36"/>
      <c r="AC40" s="36"/>
      <c r="AD40" s="36"/>
      <c r="AE40" s="36"/>
      <c r="AF40" s="36"/>
      <c r="AG40" s="36"/>
      <c r="AH40" s="36"/>
      <c r="AI40" s="21">
        <v>16449</v>
      </c>
      <c r="AJ40" s="21">
        <v>1979557</v>
      </c>
      <c r="AK40" s="22">
        <f t="shared" si="8"/>
        <v>120.34512736336555</v>
      </c>
      <c r="AL40" s="21"/>
      <c r="AM40" s="21"/>
      <c r="AN40" s="21"/>
      <c r="AO40" s="21"/>
      <c r="AP40" s="21"/>
      <c r="AQ40" s="21"/>
      <c r="AR40" s="23">
        <v>1929676</v>
      </c>
      <c r="AS40" s="23">
        <v>48627653</v>
      </c>
      <c r="AT40" s="22">
        <f t="shared" si="0"/>
        <v>25.199905580004103</v>
      </c>
      <c r="AU40" s="23">
        <v>713248</v>
      </c>
      <c r="AV40" s="23">
        <v>11933747</v>
      </c>
      <c r="AW40" s="22">
        <f t="shared" si="1"/>
        <v>16.731553400780655</v>
      </c>
      <c r="AX40" s="23">
        <v>223257</v>
      </c>
      <c r="AY40" s="23">
        <v>10674011</v>
      </c>
      <c r="AZ40" s="23">
        <f t="shared" si="2"/>
        <v>47.810420277975609</v>
      </c>
      <c r="BA40" s="23">
        <v>51203</v>
      </c>
      <c r="BB40" s="23">
        <v>1718085</v>
      </c>
      <c r="BC40" s="23">
        <f t="shared" si="3"/>
        <v>33.554381579204346</v>
      </c>
      <c r="BD40" s="23"/>
      <c r="BE40" s="23"/>
      <c r="BF40" s="23"/>
      <c r="BG40" s="23"/>
      <c r="BH40" s="23"/>
      <c r="BI40" s="23"/>
      <c r="BJ40" s="23"/>
      <c r="BK40" s="23"/>
    </row>
    <row r="41" spans="1:67">
      <c r="A41" s="4">
        <v>1901</v>
      </c>
      <c r="B41" s="19">
        <f t="shared" si="9"/>
        <v>118.51559927560092</v>
      </c>
      <c r="C41" s="18">
        <v>46.85</v>
      </c>
      <c r="D41" s="18">
        <v>170</v>
      </c>
      <c r="E41" s="18">
        <v>692</v>
      </c>
      <c r="F41" s="19">
        <f t="shared" si="4"/>
        <v>29.018082714707354</v>
      </c>
      <c r="G41" s="19">
        <f t="shared" si="5"/>
        <v>16.980640840068688</v>
      </c>
      <c r="H41" s="19">
        <f t="shared" si="6"/>
        <v>48.736417887541762</v>
      </c>
      <c r="I41" s="19">
        <f t="shared" si="7"/>
        <v>37.79233921552229</v>
      </c>
      <c r="J41" s="18">
        <v>115.5</v>
      </c>
      <c r="K41" s="18">
        <v>399</v>
      </c>
      <c r="L41" s="20">
        <v>330</v>
      </c>
      <c r="M41" s="18">
        <v>189.7</v>
      </c>
      <c r="N41" s="18">
        <v>197</v>
      </c>
      <c r="O41" s="18"/>
      <c r="P41" s="18"/>
      <c r="Q41" s="36"/>
      <c r="R41" s="36"/>
      <c r="S41" s="36"/>
      <c r="T41" s="36"/>
      <c r="U41" s="36"/>
      <c r="V41" s="36"/>
      <c r="W41" s="36"/>
      <c r="X41" s="36"/>
      <c r="Y41" s="36"/>
      <c r="Z41" s="36"/>
      <c r="AA41" s="36"/>
      <c r="AB41" s="36"/>
      <c r="AC41" s="36"/>
      <c r="AD41" s="36"/>
      <c r="AE41" s="36"/>
      <c r="AF41" s="36"/>
      <c r="AG41" s="36"/>
      <c r="AH41" s="36"/>
      <c r="AI41" s="21">
        <v>24296</v>
      </c>
      <c r="AJ41" s="21">
        <v>2879455</v>
      </c>
      <c r="AK41" s="22">
        <f t="shared" si="8"/>
        <v>118.51559927560092</v>
      </c>
      <c r="AL41" s="21"/>
      <c r="AM41" s="21"/>
      <c r="AN41" s="21"/>
      <c r="AO41" s="21"/>
      <c r="AP41" s="21"/>
      <c r="AQ41" s="21"/>
      <c r="AR41" s="23">
        <v>904289</v>
      </c>
      <c r="AS41" s="23">
        <v>26240733</v>
      </c>
      <c r="AT41" s="22">
        <f t="shared" si="0"/>
        <v>29.018082714707354</v>
      </c>
      <c r="AU41" s="23">
        <v>1112290</v>
      </c>
      <c r="AV41" s="23">
        <v>18887397</v>
      </c>
      <c r="AW41" s="22">
        <f t="shared" si="1"/>
        <v>16.980640840068688</v>
      </c>
      <c r="AX41" s="23">
        <v>338828</v>
      </c>
      <c r="AY41" s="23">
        <v>16513263</v>
      </c>
      <c r="AZ41" s="23">
        <f t="shared" si="2"/>
        <v>48.736417887541762</v>
      </c>
      <c r="BA41" s="23">
        <v>71742</v>
      </c>
      <c r="BB41" s="23">
        <v>2711298</v>
      </c>
      <c r="BC41" s="23">
        <f t="shared" si="3"/>
        <v>37.79233921552229</v>
      </c>
      <c r="BD41" s="23"/>
      <c r="BE41" s="23"/>
      <c r="BF41" s="23"/>
      <c r="BG41" s="23"/>
      <c r="BH41" s="23"/>
      <c r="BI41" s="23"/>
      <c r="BJ41" s="23"/>
      <c r="BK41" s="23"/>
    </row>
    <row r="42" spans="1:67">
      <c r="A42" s="4">
        <v>1902</v>
      </c>
      <c r="B42" s="19">
        <f t="shared" si="9"/>
        <v>118.69843974175036</v>
      </c>
      <c r="C42" s="18">
        <v>39.880000000000003</v>
      </c>
      <c r="D42" s="18">
        <v>200</v>
      </c>
      <c r="E42" s="18">
        <v>715</v>
      </c>
      <c r="F42" s="19">
        <f t="shared" si="4"/>
        <v>28.817899607385861</v>
      </c>
      <c r="G42" s="19">
        <f t="shared" si="5"/>
        <v>19.276912281643053</v>
      </c>
      <c r="H42" s="19">
        <f t="shared" si="6"/>
        <v>52.329175184858201</v>
      </c>
      <c r="I42" s="19">
        <f t="shared" si="7"/>
        <v>41.075000000000003</v>
      </c>
      <c r="J42" s="18">
        <v>127.5</v>
      </c>
      <c r="K42" s="18">
        <v>399</v>
      </c>
      <c r="L42" s="20">
        <v>330</v>
      </c>
      <c r="M42" s="18">
        <v>180.2</v>
      </c>
      <c r="N42" s="18">
        <v>239</v>
      </c>
      <c r="O42" s="18"/>
      <c r="P42" s="18"/>
      <c r="Q42" s="36"/>
      <c r="R42" s="36"/>
      <c r="S42" s="36"/>
      <c r="T42" s="36"/>
      <c r="U42" s="36"/>
      <c r="V42" s="36"/>
      <c r="W42" s="36"/>
      <c r="X42" s="36"/>
      <c r="Y42" s="36"/>
      <c r="Z42" s="36"/>
      <c r="AA42" s="36"/>
      <c r="AB42" s="36"/>
      <c r="AC42" s="36"/>
      <c r="AD42" s="36"/>
      <c r="AE42" s="36"/>
      <c r="AF42" s="36"/>
      <c r="AG42" s="36"/>
      <c r="AH42" s="36"/>
      <c r="AI42" s="21">
        <v>22304</v>
      </c>
      <c r="AJ42" s="21">
        <v>2647450</v>
      </c>
      <c r="AK42" s="22">
        <f t="shared" si="8"/>
        <v>118.69843974175036</v>
      </c>
      <c r="AL42" s="21"/>
      <c r="AM42" s="21"/>
      <c r="AN42" s="21"/>
      <c r="AO42" s="21"/>
      <c r="AP42" s="21"/>
      <c r="AQ42" s="21"/>
      <c r="AR42" s="23">
        <v>644908</v>
      </c>
      <c r="AS42" s="23">
        <v>18584894</v>
      </c>
      <c r="AT42" s="22">
        <f t="shared" si="0"/>
        <v>28.817899607385861</v>
      </c>
      <c r="AU42" s="23">
        <v>1192829</v>
      </c>
      <c r="AV42" s="23">
        <v>22994060</v>
      </c>
      <c r="AW42" s="22">
        <f t="shared" si="1"/>
        <v>19.276912281643053</v>
      </c>
      <c r="AX42" s="23">
        <v>340937</v>
      </c>
      <c r="AY42" s="23">
        <v>17840952</v>
      </c>
      <c r="AZ42" s="23">
        <f t="shared" si="2"/>
        <v>52.329175184858201</v>
      </c>
      <c r="BA42" s="23">
        <v>39040</v>
      </c>
      <c r="BB42" s="23">
        <v>1603568</v>
      </c>
      <c r="BC42" s="23">
        <f t="shared" si="3"/>
        <v>41.075000000000003</v>
      </c>
      <c r="BD42" s="23"/>
      <c r="BE42" s="23"/>
      <c r="BF42" s="23"/>
      <c r="BG42" s="23"/>
      <c r="BH42" s="23"/>
      <c r="BI42" s="23"/>
      <c r="BJ42" s="23"/>
      <c r="BK42" s="23"/>
    </row>
    <row r="43" spans="1:67">
      <c r="A43" s="4">
        <v>1903</v>
      </c>
      <c r="B43" s="19">
        <f t="shared" si="9"/>
        <v>118.69894542375491</v>
      </c>
      <c r="C43" s="18">
        <v>43.45</v>
      </c>
      <c r="D43" s="18">
        <v>240</v>
      </c>
      <c r="E43" s="18">
        <v>647</v>
      </c>
      <c r="F43" s="19">
        <f t="shared" si="4"/>
        <v>24.577669305257096</v>
      </c>
      <c r="G43" s="19">
        <f t="shared" si="5"/>
        <v>15.751521110215625</v>
      </c>
      <c r="H43" s="19">
        <f t="shared" si="6"/>
        <v>35.781432308907839</v>
      </c>
      <c r="I43" s="19">
        <f t="shared" si="7"/>
        <v>43.463809391497641</v>
      </c>
      <c r="J43" s="18">
        <v>126</v>
      </c>
      <c r="K43" s="18">
        <v>495</v>
      </c>
      <c r="L43" s="20">
        <v>337</v>
      </c>
      <c r="M43" s="18">
        <v>185.4</v>
      </c>
      <c r="N43" s="18">
        <v>258</v>
      </c>
      <c r="O43" s="18"/>
      <c r="P43" s="18"/>
      <c r="Q43" s="36"/>
      <c r="R43" s="36"/>
      <c r="S43" s="36"/>
      <c r="T43" s="36"/>
      <c r="U43" s="36"/>
      <c r="V43" s="36"/>
      <c r="W43" s="36"/>
      <c r="X43" s="36"/>
      <c r="Y43" s="36"/>
      <c r="Z43" s="36"/>
      <c r="AA43" s="36"/>
      <c r="AB43" s="36"/>
      <c r="AC43" s="36"/>
      <c r="AD43" s="36"/>
      <c r="AE43" s="36"/>
      <c r="AF43" s="36"/>
      <c r="AG43" s="36"/>
      <c r="AH43" s="36"/>
      <c r="AI43" s="21">
        <v>12991</v>
      </c>
      <c r="AJ43" s="21">
        <v>1542018</v>
      </c>
      <c r="AK43" s="22">
        <f t="shared" si="8"/>
        <v>118.69894542375491</v>
      </c>
      <c r="AL43" s="21"/>
      <c r="AM43" s="21"/>
      <c r="AN43" s="21"/>
      <c r="AO43" s="21"/>
      <c r="AP43" s="21"/>
      <c r="AQ43" s="21"/>
      <c r="AR43" s="23">
        <v>1681327</v>
      </c>
      <c r="AS43" s="23">
        <v>41323099</v>
      </c>
      <c r="AT43" s="22">
        <f t="shared" si="0"/>
        <v>24.577669305257096</v>
      </c>
      <c r="AU43" s="23">
        <v>2104384</v>
      </c>
      <c r="AV43" s="23">
        <v>33147249</v>
      </c>
      <c r="AW43" s="22">
        <f t="shared" si="1"/>
        <v>15.751521110215625</v>
      </c>
      <c r="AX43" s="23">
        <v>593601</v>
      </c>
      <c r="AY43" s="23">
        <v>21239894</v>
      </c>
      <c r="AZ43" s="23">
        <f t="shared" si="2"/>
        <v>35.781432308907839</v>
      </c>
      <c r="BA43" s="23">
        <v>71980</v>
      </c>
      <c r="BB43" s="23">
        <v>3128525</v>
      </c>
      <c r="BC43" s="23">
        <f t="shared" si="3"/>
        <v>43.463809391497641</v>
      </c>
      <c r="BD43" s="23"/>
      <c r="BE43" s="23"/>
      <c r="BF43" s="23"/>
      <c r="BG43" s="23"/>
      <c r="BH43" s="23"/>
      <c r="BI43" s="23"/>
      <c r="BJ43" s="23"/>
      <c r="BK43" s="23"/>
    </row>
    <row r="44" spans="1:67">
      <c r="A44" s="4">
        <v>1904</v>
      </c>
      <c r="B44" s="19">
        <f t="shared" si="9"/>
        <v>135.7607879924953</v>
      </c>
      <c r="C44" s="18">
        <v>33.78</v>
      </c>
      <c r="D44" s="18">
        <v>230</v>
      </c>
      <c r="E44" s="18">
        <v>507</v>
      </c>
      <c r="F44" s="19">
        <f t="shared" si="4"/>
        <v>29.048116390509232</v>
      </c>
      <c r="G44" s="19">
        <f t="shared" si="5"/>
        <v>17.975433561121307</v>
      </c>
      <c r="H44" s="19">
        <f t="shared" si="6"/>
        <v>32.207385005354659</v>
      </c>
      <c r="I44" s="19">
        <f t="shared" si="7"/>
        <v>44.336781673470149</v>
      </c>
      <c r="J44" s="18">
        <v>110</v>
      </c>
      <c r="K44" s="18">
        <v>472</v>
      </c>
      <c r="L44" s="20">
        <v>358</v>
      </c>
      <c r="M44" s="18">
        <v>185</v>
      </c>
      <c r="N44" s="18">
        <v>286</v>
      </c>
      <c r="O44" s="18"/>
      <c r="P44" s="18"/>
      <c r="Q44" s="36"/>
      <c r="R44" s="36"/>
      <c r="S44" s="36"/>
      <c r="T44" s="36"/>
      <c r="U44" s="36"/>
      <c r="V44" s="36"/>
      <c r="W44" s="36"/>
      <c r="X44" s="36"/>
      <c r="Y44" s="36"/>
      <c r="Z44" s="36"/>
      <c r="AA44" s="36"/>
      <c r="AB44" s="36"/>
      <c r="AC44" s="36"/>
      <c r="AD44" s="36"/>
      <c r="AE44" s="36"/>
      <c r="AF44" s="36"/>
      <c r="AG44" s="36"/>
      <c r="AH44" s="36"/>
      <c r="AI44" s="21">
        <v>11726</v>
      </c>
      <c r="AJ44" s="21">
        <v>1591931</v>
      </c>
      <c r="AK44" s="22">
        <f t="shared" si="8"/>
        <v>135.7607879924953</v>
      </c>
      <c r="AL44" s="21"/>
      <c r="AM44" s="21"/>
      <c r="AN44" s="21"/>
      <c r="AO44" s="21"/>
      <c r="AP44" s="21"/>
      <c r="AQ44" s="21"/>
      <c r="AR44" s="23">
        <v>2304724</v>
      </c>
      <c r="AS44" s="23">
        <v>66947891</v>
      </c>
      <c r="AT44" s="22">
        <f t="shared" si="0"/>
        <v>29.048116390509232</v>
      </c>
      <c r="AU44" s="23">
        <v>2469548</v>
      </c>
      <c r="AV44" s="23">
        <v>44391196</v>
      </c>
      <c r="AW44" s="22">
        <f t="shared" si="1"/>
        <v>17.975433561121307</v>
      </c>
      <c r="AX44" s="23">
        <v>880541</v>
      </c>
      <c r="AY44" s="23">
        <v>28359923</v>
      </c>
      <c r="AZ44" s="23">
        <f t="shared" si="2"/>
        <v>32.207385005354659</v>
      </c>
      <c r="BA44" s="23">
        <v>107298</v>
      </c>
      <c r="BB44" s="23">
        <v>4757248</v>
      </c>
      <c r="BC44" s="23">
        <f t="shared" si="3"/>
        <v>44.336781673470149</v>
      </c>
      <c r="BD44" s="23"/>
      <c r="BE44" s="23"/>
      <c r="BF44" s="23"/>
      <c r="BG44" s="23"/>
      <c r="BH44" s="23"/>
      <c r="BI44" s="23"/>
      <c r="BJ44" s="23"/>
      <c r="BK44" s="23"/>
    </row>
    <row r="45" spans="1:67">
      <c r="A45" s="4">
        <v>1905</v>
      </c>
      <c r="B45" s="19">
        <f t="shared" si="9"/>
        <v>147.83470420752926</v>
      </c>
      <c r="C45" s="18">
        <v>34.94</v>
      </c>
      <c r="D45" s="18">
        <v>310</v>
      </c>
      <c r="E45" s="18">
        <v>561</v>
      </c>
      <c r="F45" s="19">
        <f t="shared" si="4"/>
        <v>29.942373498273007</v>
      </c>
      <c r="G45" s="19">
        <f t="shared" si="5"/>
        <v>20.941201616891412</v>
      </c>
      <c r="H45" s="19">
        <f t="shared" si="6"/>
        <v>40.064403657955502</v>
      </c>
      <c r="I45" s="19">
        <f t="shared" si="7"/>
        <v>37.121435479414203</v>
      </c>
      <c r="J45" s="18">
        <v>111.5</v>
      </c>
      <c r="K45" s="18">
        <v>506</v>
      </c>
      <c r="L45" s="20">
        <v>404</v>
      </c>
      <c r="M45" s="18">
        <v>224</v>
      </c>
      <c r="N45" s="18">
        <v>337</v>
      </c>
      <c r="O45" s="18"/>
      <c r="P45" s="18"/>
      <c r="Q45" s="36"/>
      <c r="R45" s="36"/>
      <c r="S45" s="36"/>
      <c r="T45" s="36"/>
      <c r="U45" s="36"/>
      <c r="V45" s="36"/>
      <c r="W45" s="36"/>
      <c r="X45" s="36"/>
      <c r="Y45" s="36"/>
      <c r="Z45" s="36"/>
      <c r="AA45" s="36"/>
      <c r="AB45" s="36"/>
      <c r="AC45" s="36"/>
      <c r="AD45" s="36"/>
      <c r="AE45" s="36"/>
      <c r="AF45" s="36"/>
      <c r="AG45" s="36"/>
      <c r="AH45" s="36"/>
      <c r="AI45" s="21">
        <v>25288</v>
      </c>
      <c r="AJ45" s="21">
        <v>3738444</v>
      </c>
      <c r="AK45" s="22">
        <f t="shared" si="8"/>
        <v>147.83470420752926</v>
      </c>
      <c r="AL45" s="21"/>
      <c r="AM45" s="21"/>
      <c r="AN45" s="21"/>
      <c r="AO45" s="21"/>
      <c r="AP45" s="21"/>
      <c r="AQ45" s="21"/>
      <c r="AR45" s="23">
        <v>2868281</v>
      </c>
      <c r="AS45" s="23">
        <v>85883141</v>
      </c>
      <c r="AT45" s="22">
        <f t="shared" si="0"/>
        <v>29.942373498273007</v>
      </c>
      <c r="AU45" s="23">
        <v>2222289</v>
      </c>
      <c r="AV45" s="23">
        <v>46537402</v>
      </c>
      <c r="AW45" s="22">
        <f t="shared" si="1"/>
        <v>20.941201616891412</v>
      </c>
      <c r="AX45" s="23">
        <v>654792</v>
      </c>
      <c r="AY45" s="23">
        <v>26233851</v>
      </c>
      <c r="AZ45" s="23">
        <f t="shared" si="2"/>
        <v>40.064403657955502</v>
      </c>
      <c r="BA45" s="23">
        <v>144760</v>
      </c>
      <c r="BB45" s="23">
        <v>5373699</v>
      </c>
      <c r="BC45" s="23">
        <f t="shared" si="3"/>
        <v>37.121435479414203</v>
      </c>
      <c r="BD45" s="23">
        <v>45758</v>
      </c>
      <c r="BE45" s="23">
        <v>5321099</v>
      </c>
      <c r="BF45" s="23">
        <f t="shared" ref="BF45:BF53" si="10">BE45/BD45</f>
        <v>116.28784037763889</v>
      </c>
      <c r="BG45" s="23"/>
      <c r="BH45" s="23"/>
      <c r="BI45" s="23"/>
      <c r="BJ45" s="23"/>
      <c r="BK45" s="23"/>
    </row>
    <row r="46" spans="1:67">
      <c r="A46" s="4">
        <v>1906</v>
      </c>
      <c r="B46" s="19">
        <f t="shared" si="9"/>
        <v>128.31032258064516</v>
      </c>
      <c r="C46" s="18">
        <v>38.19</v>
      </c>
      <c r="D46" s="18">
        <v>350</v>
      </c>
      <c r="E46" s="18">
        <v>551</v>
      </c>
      <c r="F46" s="19">
        <f t="shared" si="4"/>
        <v>29.609224337496464</v>
      </c>
      <c r="G46" s="19">
        <f t="shared" si="5"/>
        <v>19.811008787414075</v>
      </c>
      <c r="H46" s="19">
        <f t="shared" si="6"/>
        <v>48.126376054789638</v>
      </c>
      <c r="I46" s="19">
        <f t="shared" si="7"/>
        <v>34.713437417634381</v>
      </c>
      <c r="J46" s="18">
        <v>129</v>
      </c>
      <c r="K46" s="18">
        <v>552</v>
      </c>
      <c r="L46" s="20">
        <v>459</v>
      </c>
      <c r="M46" s="18">
        <v>257</v>
      </c>
      <c r="N46" s="18">
        <v>393</v>
      </c>
      <c r="O46" s="18"/>
      <c r="P46" s="18"/>
      <c r="Q46" s="36"/>
      <c r="R46" s="36"/>
      <c r="S46" s="36"/>
      <c r="T46" s="36"/>
      <c r="U46" s="36"/>
      <c r="V46" s="36"/>
      <c r="W46" s="36"/>
      <c r="X46" s="36"/>
      <c r="Y46" s="36"/>
      <c r="Z46" s="36"/>
      <c r="AA46" s="36"/>
      <c r="AB46" s="36"/>
      <c r="AC46" s="36"/>
      <c r="AD46" s="36"/>
      <c r="AE46" s="36"/>
      <c r="AF46" s="36"/>
      <c r="AG46" s="36"/>
      <c r="AH46" s="36"/>
      <c r="AI46" s="21">
        <v>4650</v>
      </c>
      <c r="AJ46" s="21">
        <v>596643</v>
      </c>
      <c r="AK46" s="22">
        <f t="shared" si="8"/>
        <v>128.31032258064516</v>
      </c>
      <c r="AL46" s="21">
        <v>23781</v>
      </c>
      <c r="AM46" s="21">
        <v>8513910</v>
      </c>
      <c r="AN46" s="22">
        <f t="shared" ref="AN46:AN53" si="11">AM46/AL46</f>
        <v>358.01311971742149</v>
      </c>
      <c r="AO46" s="21">
        <v>1888980</v>
      </c>
      <c r="AP46" s="21">
        <v>1116762</v>
      </c>
      <c r="AQ46" s="22">
        <f t="shared" ref="AQ46:AQ52" si="12">AP46/(AO46/1000)</f>
        <v>591.19842454658067</v>
      </c>
      <c r="AR46" s="23">
        <v>2247988</v>
      </c>
      <c r="AS46" s="23">
        <v>66561181</v>
      </c>
      <c r="AT46" s="22">
        <f t="shared" si="0"/>
        <v>29.609224337496464</v>
      </c>
      <c r="AU46" s="23">
        <v>2693739</v>
      </c>
      <c r="AV46" s="23">
        <v>53365687</v>
      </c>
      <c r="AW46" s="22">
        <f t="shared" si="1"/>
        <v>19.811008787414075</v>
      </c>
      <c r="AX46" s="23">
        <v>538496</v>
      </c>
      <c r="AY46" s="23">
        <v>25915861</v>
      </c>
      <c r="AZ46" s="23">
        <f t="shared" si="2"/>
        <v>48.126376054789638</v>
      </c>
      <c r="BA46" s="23">
        <v>128998</v>
      </c>
      <c r="BB46" s="23">
        <v>4477964</v>
      </c>
      <c r="BC46" s="23">
        <f t="shared" si="3"/>
        <v>34.713437417634381</v>
      </c>
      <c r="BD46" s="23">
        <v>25301</v>
      </c>
      <c r="BE46" s="23">
        <v>3482526</v>
      </c>
      <c r="BF46" s="23">
        <f t="shared" si="10"/>
        <v>137.6438085451168</v>
      </c>
      <c r="BG46" s="23">
        <v>23201</v>
      </c>
      <c r="BH46" s="23">
        <v>10570124</v>
      </c>
      <c r="BI46" s="23">
        <f t="shared" ref="BI46:BI53" si="13">BH46/BG46</f>
        <v>455.58915563984311</v>
      </c>
      <c r="BJ46" s="23"/>
      <c r="BK46" s="23"/>
    </row>
    <row r="47" spans="1:67">
      <c r="A47" s="4">
        <v>1907</v>
      </c>
      <c r="B47" s="19">
        <f t="shared" si="9"/>
        <v>110.62541083669828</v>
      </c>
      <c r="C47" s="18">
        <v>41.51</v>
      </c>
      <c r="D47" s="19">
        <f>AN47</f>
        <v>347.28105111886674</v>
      </c>
      <c r="E47" s="19">
        <f>AQ47</f>
        <v>613.91969276430871</v>
      </c>
      <c r="F47" s="19">
        <f t="shared" si="4"/>
        <v>30.859327544518393</v>
      </c>
      <c r="G47" s="19">
        <f t="shared" si="5"/>
        <v>23.226471177976272</v>
      </c>
      <c r="H47" s="19">
        <f t="shared" si="6"/>
        <v>47.243053882493427</v>
      </c>
      <c r="I47" s="19">
        <f t="shared" si="7"/>
        <v>36.83898697244684</v>
      </c>
      <c r="J47" s="19">
        <f>BF47</f>
        <v>155.48552482613619</v>
      </c>
      <c r="L47" s="55">
        <f t="shared" ref="L47:L53" si="14">BI47</f>
        <v>393.91577933028185</v>
      </c>
      <c r="M47" s="19">
        <f>BL47</f>
        <v>248.22754312908984</v>
      </c>
      <c r="N47" s="19">
        <f>BO47</f>
        <v>382.74625670176346</v>
      </c>
      <c r="O47" s="18"/>
      <c r="P47" s="18"/>
      <c r="Q47" s="36"/>
      <c r="R47" s="36"/>
      <c r="S47" s="36"/>
      <c r="T47" s="36"/>
      <c r="U47" s="36"/>
      <c r="V47" s="36"/>
      <c r="W47" s="36"/>
      <c r="X47" s="36"/>
      <c r="Y47" s="36"/>
      <c r="Z47" s="36"/>
      <c r="AA47" s="36"/>
      <c r="AB47" s="36"/>
      <c r="AC47" s="36"/>
      <c r="AD47" s="36"/>
      <c r="AE47" s="36"/>
      <c r="AF47" s="36"/>
      <c r="AG47" s="36"/>
      <c r="AH47" s="36"/>
      <c r="AI47" s="21">
        <v>10649</v>
      </c>
      <c r="AJ47" s="21">
        <v>1178050</v>
      </c>
      <c r="AK47" s="22">
        <f t="shared" si="8"/>
        <v>110.62541083669828</v>
      </c>
      <c r="AL47" s="21">
        <v>24355</v>
      </c>
      <c r="AM47" s="21">
        <v>8458030</v>
      </c>
      <c r="AN47" s="22">
        <f t="shared" si="11"/>
        <v>347.28105111886674</v>
      </c>
      <c r="AO47" s="21">
        <v>935308</v>
      </c>
      <c r="AP47" s="21">
        <v>574204</v>
      </c>
      <c r="AQ47" s="22">
        <f t="shared" si="12"/>
        <v>613.91969276430871</v>
      </c>
      <c r="AR47" s="23">
        <v>2680802</v>
      </c>
      <c r="AS47" s="23">
        <v>82727747</v>
      </c>
      <c r="AT47" s="22">
        <f t="shared" si="0"/>
        <v>30.859327544518393</v>
      </c>
      <c r="AU47" s="23">
        <v>1276732</v>
      </c>
      <c r="AV47" s="23">
        <v>29653979</v>
      </c>
      <c r="AW47" s="22">
        <f t="shared" si="1"/>
        <v>23.226471177976272</v>
      </c>
      <c r="AX47" s="23">
        <v>763736</v>
      </c>
      <c r="AY47" s="23">
        <v>36081221</v>
      </c>
      <c r="AZ47" s="23">
        <f t="shared" si="2"/>
        <v>47.243053882493427</v>
      </c>
      <c r="BA47" s="23">
        <v>127499</v>
      </c>
      <c r="BB47" s="23">
        <v>4696934</v>
      </c>
      <c r="BC47" s="23">
        <f t="shared" si="3"/>
        <v>36.83898697244684</v>
      </c>
      <c r="BD47" s="23">
        <v>30915</v>
      </c>
      <c r="BE47" s="23">
        <v>4806835</v>
      </c>
      <c r="BF47" s="23">
        <f t="shared" si="10"/>
        <v>155.48552482613619</v>
      </c>
      <c r="BG47" s="23">
        <v>20755</v>
      </c>
      <c r="BH47" s="23">
        <v>8175722</v>
      </c>
      <c r="BI47" s="23">
        <f t="shared" si="13"/>
        <v>393.91577933028185</v>
      </c>
      <c r="BJ47" s="23">
        <v>33620</v>
      </c>
      <c r="BK47" s="23">
        <v>8345410</v>
      </c>
      <c r="BL47" s="23">
        <f t="shared" ref="BL47:BL53" si="15">BK47/BJ47</f>
        <v>248.22754312908984</v>
      </c>
      <c r="BM47" s="31">
        <v>154810</v>
      </c>
      <c r="BN47" s="31">
        <v>59252948</v>
      </c>
      <c r="BO47" s="23">
        <f t="shared" ref="BO47:BO53" si="16">BN47/BM47</f>
        <v>382.74625670176346</v>
      </c>
    </row>
    <row r="48" spans="1:67">
      <c r="A48" s="4">
        <v>1908</v>
      </c>
      <c r="B48" s="19">
        <f t="shared" si="9"/>
        <v>116.21338345864662</v>
      </c>
      <c r="C48" s="18">
        <v>43.58</v>
      </c>
      <c r="D48" s="19">
        <f t="shared" ref="D48:D53" si="17">AN48</f>
        <v>213.31574158325751</v>
      </c>
      <c r="E48" s="19">
        <f t="shared" ref="E48:E53" si="18">AQ48</f>
        <v>404.63046663741511</v>
      </c>
      <c r="F48" s="19">
        <f t="shared" si="4"/>
        <v>35.432396280388772</v>
      </c>
      <c r="G48" s="19">
        <f t="shared" si="5"/>
        <v>24.27664907898334</v>
      </c>
      <c r="H48" s="19">
        <f t="shared" si="6"/>
        <v>46.421355562923317</v>
      </c>
      <c r="I48" s="19">
        <f t="shared" si="7"/>
        <v>45.227621145374449</v>
      </c>
      <c r="J48" s="19">
        <f t="shared" ref="J48:J53" si="19">BF48</f>
        <v>137.13079564317712</v>
      </c>
      <c r="L48" s="55">
        <f t="shared" si="14"/>
        <v>287.61846269012216</v>
      </c>
      <c r="M48" s="19">
        <f t="shared" ref="M48:M53" si="20">BL48</f>
        <v>205.90548580863722</v>
      </c>
      <c r="N48" s="19">
        <f t="shared" ref="N48:N53" si="21">BO48</f>
        <v>269.15074228941882</v>
      </c>
      <c r="O48" s="18"/>
      <c r="P48" s="18"/>
      <c r="Q48" s="36"/>
      <c r="R48" s="36"/>
      <c r="S48" s="36"/>
      <c r="T48" s="36"/>
      <c r="U48" s="36"/>
      <c r="V48" s="36"/>
      <c r="W48" s="36"/>
      <c r="X48" s="36"/>
      <c r="Y48" s="36"/>
      <c r="Z48" s="36"/>
      <c r="AA48" s="36"/>
      <c r="AB48" s="36"/>
      <c r="AC48" s="36"/>
      <c r="AD48" s="36"/>
      <c r="AE48" s="36"/>
      <c r="AF48" s="36"/>
      <c r="AG48" s="36"/>
      <c r="AH48" s="36"/>
      <c r="AI48" s="21">
        <v>6650</v>
      </c>
      <c r="AJ48" s="21">
        <v>772819</v>
      </c>
      <c r="AK48" s="22">
        <f t="shared" si="8"/>
        <v>116.21338345864662</v>
      </c>
      <c r="AL48" s="21">
        <v>26376</v>
      </c>
      <c r="AM48" s="21">
        <v>5626416</v>
      </c>
      <c r="AN48" s="22">
        <f t="shared" si="11"/>
        <v>213.31574158325751</v>
      </c>
      <c r="AO48" s="21">
        <v>2308709</v>
      </c>
      <c r="AP48" s="21">
        <v>934174</v>
      </c>
      <c r="AQ48" s="22">
        <f t="shared" si="12"/>
        <v>404.63046663741511</v>
      </c>
      <c r="AR48" s="23">
        <v>3636294</v>
      </c>
      <c r="AS48" s="23">
        <v>128842610</v>
      </c>
      <c r="AT48" s="22">
        <f t="shared" si="0"/>
        <v>35.432396280388772</v>
      </c>
      <c r="AU48" s="23">
        <v>1711804</v>
      </c>
      <c r="AV48" s="23">
        <v>41556865</v>
      </c>
      <c r="AW48" s="22">
        <f t="shared" si="1"/>
        <v>24.27664907898334</v>
      </c>
      <c r="AX48" s="23">
        <v>1055650</v>
      </c>
      <c r="AY48" s="23">
        <v>49004704</v>
      </c>
      <c r="AZ48" s="23">
        <f t="shared" si="2"/>
        <v>46.421355562923317</v>
      </c>
      <c r="BA48" s="23">
        <v>113500</v>
      </c>
      <c r="BB48" s="23">
        <v>5133335</v>
      </c>
      <c r="BC48" s="23">
        <f t="shared" si="3"/>
        <v>45.227621145374449</v>
      </c>
      <c r="BD48" s="23">
        <v>43977</v>
      </c>
      <c r="BE48" s="23">
        <v>6030601</v>
      </c>
      <c r="BF48" s="23">
        <f t="shared" si="10"/>
        <v>137.13079564317712</v>
      </c>
      <c r="BG48" s="23">
        <v>29389</v>
      </c>
      <c r="BH48" s="23">
        <v>8452819</v>
      </c>
      <c r="BI48" s="23">
        <f t="shared" si="13"/>
        <v>287.61846269012216</v>
      </c>
      <c r="BJ48" s="23">
        <v>35127</v>
      </c>
      <c r="BK48" s="23">
        <v>7232842</v>
      </c>
      <c r="BL48" s="23">
        <f t="shared" si="15"/>
        <v>205.90548580863722</v>
      </c>
      <c r="BM48" s="31">
        <v>175538</v>
      </c>
      <c r="BN48" s="31">
        <v>47246183</v>
      </c>
      <c r="BO48" s="23">
        <f t="shared" si="16"/>
        <v>269.15074228941882</v>
      </c>
    </row>
    <row r="49" spans="1:67">
      <c r="A49" s="4">
        <v>1909</v>
      </c>
      <c r="B49" s="19">
        <f t="shared" si="9"/>
        <v>114.01247633797969</v>
      </c>
      <c r="C49" s="18">
        <v>46.95</v>
      </c>
      <c r="D49" s="19">
        <f t="shared" si="17"/>
        <v>252.58859082383066</v>
      </c>
      <c r="E49" s="19">
        <f t="shared" si="18"/>
        <v>462.373775064585</v>
      </c>
      <c r="F49" s="19">
        <f t="shared" si="4"/>
        <v>42.177190519185565</v>
      </c>
      <c r="G49" s="19">
        <f t="shared" si="5"/>
        <v>25.677013229454229</v>
      </c>
      <c r="H49" s="19">
        <f t="shared" si="6"/>
        <v>49.269921169673431</v>
      </c>
      <c r="I49" s="19">
        <f t="shared" si="7"/>
        <v>48.029840239683395</v>
      </c>
      <c r="J49" s="19">
        <f t="shared" si="19"/>
        <v>139.40598251265533</v>
      </c>
      <c r="L49" s="55">
        <f t="shared" si="14"/>
        <v>406.03099474711917</v>
      </c>
      <c r="M49" s="19">
        <f t="shared" si="20"/>
        <v>269.63231472524137</v>
      </c>
      <c r="N49" s="19">
        <f t="shared" si="21"/>
        <v>339.15028695622647</v>
      </c>
      <c r="O49" s="18"/>
      <c r="P49" s="18"/>
      <c r="Q49" s="36"/>
      <c r="R49" s="36"/>
      <c r="S49" s="36"/>
      <c r="T49" s="36"/>
      <c r="U49" s="36"/>
      <c r="V49" s="36"/>
      <c r="W49" s="36"/>
      <c r="X49" s="36"/>
      <c r="Y49" s="36"/>
      <c r="Z49" s="36"/>
      <c r="AA49" s="36"/>
      <c r="AB49" s="36"/>
      <c r="AC49" s="36"/>
      <c r="AD49" s="36"/>
      <c r="AE49" s="36"/>
      <c r="AF49" s="36"/>
      <c r="AG49" s="36"/>
      <c r="AH49" s="36"/>
      <c r="AI49" s="21">
        <v>11622</v>
      </c>
      <c r="AJ49" s="21">
        <v>1325053</v>
      </c>
      <c r="AK49" s="22">
        <f t="shared" si="8"/>
        <v>114.01247633797969</v>
      </c>
      <c r="AL49" s="21">
        <v>33587</v>
      </c>
      <c r="AM49" s="21">
        <v>8483693</v>
      </c>
      <c r="AN49" s="22">
        <f t="shared" si="11"/>
        <v>252.58859082383066</v>
      </c>
      <c r="AO49" s="21">
        <v>2432067</v>
      </c>
      <c r="AP49" s="21">
        <v>1124524</v>
      </c>
      <c r="AQ49" s="22">
        <f t="shared" si="12"/>
        <v>462.373775064585</v>
      </c>
      <c r="AR49" s="23">
        <v>2514130</v>
      </c>
      <c r="AS49" s="23">
        <v>106038940</v>
      </c>
      <c r="AT49" s="22">
        <f t="shared" si="0"/>
        <v>42.177190519185565</v>
      </c>
      <c r="AU49" s="23">
        <v>2273412</v>
      </c>
      <c r="AV49" s="23">
        <v>58374430</v>
      </c>
      <c r="AW49" s="22">
        <f t="shared" si="1"/>
        <v>25.677013229454229</v>
      </c>
      <c r="AX49" s="23">
        <v>887222</v>
      </c>
      <c r="AY49" s="23">
        <v>43713358</v>
      </c>
      <c r="AZ49" s="23">
        <f t="shared" si="2"/>
        <v>49.269921169673431</v>
      </c>
      <c r="BA49" s="23">
        <v>116487</v>
      </c>
      <c r="BB49" s="23">
        <v>5594852</v>
      </c>
      <c r="BC49" s="23">
        <f t="shared" si="3"/>
        <v>48.029840239683395</v>
      </c>
      <c r="BD49" s="23">
        <v>54325</v>
      </c>
      <c r="BE49" s="23">
        <v>7573230</v>
      </c>
      <c r="BF49" s="23">
        <f t="shared" si="10"/>
        <v>139.40598251265533</v>
      </c>
      <c r="BG49" s="23">
        <v>36361</v>
      </c>
      <c r="BH49" s="23">
        <v>14763693</v>
      </c>
      <c r="BI49" s="23">
        <f t="shared" si="13"/>
        <v>406.03099474711917</v>
      </c>
      <c r="BJ49" s="23">
        <v>52719</v>
      </c>
      <c r="BK49" s="23">
        <v>14214746</v>
      </c>
      <c r="BL49" s="23">
        <f t="shared" si="15"/>
        <v>269.63231472524137</v>
      </c>
      <c r="BM49" s="31">
        <v>176682</v>
      </c>
      <c r="BN49" s="31">
        <v>59921751</v>
      </c>
      <c r="BO49" s="23">
        <f t="shared" si="16"/>
        <v>339.15028695622647</v>
      </c>
    </row>
    <row r="50" spans="1:67">
      <c r="A50" s="4">
        <v>1910</v>
      </c>
      <c r="B50" s="19">
        <f t="shared" si="9"/>
        <v>109.40690531667019</v>
      </c>
      <c r="C50" s="18">
        <v>52.01</v>
      </c>
      <c r="D50" s="19">
        <f t="shared" si="17"/>
        <v>269.99969371086303</v>
      </c>
      <c r="E50" s="19">
        <f t="shared" si="18"/>
        <v>589.69604716513561</v>
      </c>
      <c r="F50" s="19">
        <f t="shared" si="4"/>
        <v>38.332218442210412</v>
      </c>
      <c r="G50" s="19">
        <f t="shared" si="5"/>
        <v>22.652521497241775</v>
      </c>
      <c r="H50" s="19">
        <f t="shared" si="6"/>
        <v>73.741264752999371</v>
      </c>
      <c r="I50" s="19">
        <f t="shared" si="7"/>
        <v>42.866499722722864</v>
      </c>
      <c r="J50" s="19">
        <f t="shared" si="19"/>
        <v>163.28255658665205</v>
      </c>
      <c r="L50" s="55">
        <f t="shared" si="14"/>
        <v>460.99839163650984</v>
      </c>
      <c r="M50" s="19">
        <f t="shared" si="20"/>
        <v>277.7920660669518</v>
      </c>
      <c r="N50" s="19">
        <f t="shared" si="21"/>
        <v>390.75756811134204</v>
      </c>
      <c r="O50" s="18"/>
      <c r="P50" s="18"/>
      <c r="Q50" s="36"/>
      <c r="R50" s="36"/>
      <c r="S50" s="36"/>
      <c r="T50" s="36"/>
      <c r="U50" s="36"/>
      <c r="V50" s="36"/>
      <c r="W50" s="36"/>
      <c r="X50" s="36"/>
      <c r="Y50" s="36"/>
      <c r="Z50" s="36"/>
      <c r="AA50" s="36"/>
      <c r="AB50" s="36"/>
      <c r="AC50" s="36"/>
      <c r="AD50" s="36"/>
      <c r="AE50" s="36"/>
      <c r="AF50" s="36"/>
      <c r="AG50" s="36"/>
      <c r="AH50" s="36"/>
      <c r="AI50" s="21">
        <v>9442</v>
      </c>
      <c r="AJ50" s="21">
        <v>1033020</v>
      </c>
      <c r="AK50" s="22">
        <f t="shared" si="8"/>
        <v>109.40690531667019</v>
      </c>
      <c r="AL50" s="21">
        <v>29384</v>
      </c>
      <c r="AM50" s="21">
        <v>7933671</v>
      </c>
      <c r="AN50" s="22">
        <f t="shared" si="11"/>
        <v>269.99969371086303</v>
      </c>
      <c r="AO50" s="21">
        <v>1698882</v>
      </c>
      <c r="AP50" s="21">
        <v>1001824</v>
      </c>
      <c r="AQ50" s="22">
        <f t="shared" si="12"/>
        <v>589.69604716513561</v>
      </c>
      <c r="AR50" s="23">
        <v>1883592</v>
      </c>
      <c r="AS50" s="23">
        <v>72202260</v>
      </c>
      <c r="AT50" s="22">
        <f t="shared" si="0"/>
        <v>38.332218442210412</v>
      </c>
      <c r="AU50" s="23">
        <v>2660225</v>
      </c>
      <c r="AV50" s="23">
        <v>60260804</v>
      </c>
      <c r="AW50" s="22">
        <f t="shared" si="1"/>
        <v>22.652521497241775</v>
      </c>
      <c r="AX50" s="23">
        <v>604877</v>
      </c>
      <c r="AY50" s="23">
        <v>44604395</v>
      </c>
      <c r="AZ50" s="23">
        <f t="shared" si="2"/>
        <v>73.741264752999371</v>
      </c>
      <c r="BA50" s="23">
        <v>115408</v>
      </c>
      <c r="BB50" s="23">
        <v>4947137</v>
      </c>
      <c r="BC50" s="23">
        <f t="shared" si="3"/>
        <v>42.866499722722864</v>
      </c>
      <c r="BD50" s="23">
        <v>58406</v>
      </c>
      <c r="BE50" s="23">
        <v>9536681</v>
      </c>
      <c r="BF50" s="23">
        <f t="shared" si="10"/>
        <v>163.28255658665205</v>
      </c>
      <c r="BG50" s="23">
        <v>29844</v>
      </c>
      <c r="BH50" s="23">
        <v>13758036</v>
      </c>
      <c r="BI50" s="23">
        <f t="shared" si="13"/>
        <v>460.99839163650984</v>
      </c>
      <c r="BJ50" s="23">
        <v>61029</v>
      </c>
      <c r="BK50" s="23">
        <v>16953372</v>
      </c>
      <c r="BL50" s="23">
        <f t="shared" si="15"/>
        <v>277.7920660669518</v>
      </c>
      <c r="BM50" s="31">
        <v>150599</v>
      </c>
      <c r="BN50" s="31">
        <v>58847699</v>
      </c>
      <c r="BO50" s="23">
        <f t="shared" si="16"/>
        <v>390.75756811134204</v>
      </c>
    </row>
    <row r="51" spans="1:67">
      <c r="A51" s="4">
        <v>1911</v>
      </c>
      <c r="B51" s="19">
        <f t="shared" si="9"/>
        <v>137.09694719471946</v>
      </c>
      <c r="C51" s="18">
        <v>52.38</v>
      </c>
      <c r="D51" s="19">
        <f t="shared" si="17"/>
        <v>258.47954727418301</v>
      </c>
      <c r="E51" s="19">
        <f t="shared" si="18"/>
        <v>510.95923914155782</v>
      </c>
      <c r="F51" s="19">
        <f t="shared" si="4"/>
        <v>35.291686479718948</v>
      </c>
      <c r="G51" s="19">
        <f t="shared" si="5"/>
        <v>22.100067899508726</v>
      </c>
      <c r="H51" s="19">
        <f t="shared" si="6"/>
        <v>80.758985582183954</v>
      </c>
      <c r="I51" s="19">
        <f t="shared" si="7"/>
        <v>39.999839643502185</v>
      </c>
      <c r="J51" s="19">
        <f t="shared" si="19"/>
        <v>153.99683341402456</v>
      </c>
      <c r="L51" s="55">
        <f t="shared" si="14"/>
        <v>449.47612538727901</v>
      </c>
      <c r="M51" s="19">
        <f t="shared" si="20"/>
        <v>270.22468323955479</v>
      </c>
      <c r="N51" s="19">
        <f t="shared" si="21"/>
        <v>382.42620951861613</v>
      </c>
      <c r="O51" s="18"/>
      <c r="P51" s="18"/>
      <c r="Q51" s="36"/>
      <c r="R51" s="36"/>
      <c r="S51" s="36"/>
      <c r="T51" s="36"/>
      <c r="U51" s="36"/>
      <c r="V51" s="36"/>
      <c r="W51" s="36"/>
      <c r="X51" s="36"/>
      <c r="Y51" s="36"/>
      <c r="Z51" s="36"/>
      <c r="AA51" s="36"/>
      <c r="AB51" s="36"/>
      <c r="AC51" s="36"/>
      <c r="AD51" s="36"/>
      <c r="AE51" s="36"/>
      <c r="AF51" s="36"/>
      <c r="AG51" s="36"/>
      <c r="AH51" s="36"/>
      <c r="AI51" s="21">
        <v>12120</v>
      </c>
      <c r="AJ51" s="21">
        <v>1661615</v>
      </c>
      <c r="AK51" s="22">
        <f t="shared" si="8"/>
        <v>137.09694719471946</v>
      </c>
      <c r="AL51" s="21">
        <v>27478</v>
      </c>
      <c r="AM51" s="21">
        <v>7102501</v>
      </c>
      <c r="AN51" s="22">
        <f t="shared" si="11"/>
        <v>258.47954727418301</v>
      </c>
      <c r="AO51" s="21">
        <v>1954424</v>
      </c>
      <c r="AP51" s="21">
        <v>998631</v>
      </c>
      <c r="AQ51" s="22">
        <f t="shared" si="12"/>
        <v>510.95923914155782</v>
      </c>
      <c r="AR51" s="23">
        <v>2285951</v>
      </c>
      <c r="AS51" s="23">
        <v>80675066</v>
      </c>
      <c r="AT51" s="22">
        <f t="shared" si="0"/>
        <v>35.291686479718948</v>
      </c>
      <c r="AU51" s="23">
        <v>125185</v>
      </c>
      <c r="AV51" s="23">
        <v>2766597</v>
      </c>
      <c r="AW51" s="22">
        <f t="shared" si="1"/>
        <v>22.100067899508726</v>
      </c>
      <c r="AX51" s="23">
        <v>415805</v>
      </c>
      <c r="AY51" s="23">
        <v>33579990</v>
      </c>
      <c r="AZ51" s="23">
        <f t="shared" si="2"/>
        <v>80.758985582183954</v>
      </c>
      <c r="BA51" s="23">
        <v>118486</v>
      </c>
      <c r="BB51" s="23">
        <v>4739421</v>
      </c>
      <c r="BC51" s="23">
        <f t="shared" si="3"/>
        <v>39.999839643502185</v>
      </c>
      <c r="BD51" s="23">
        <v>76423</v>
      </c>
      <c r="BE51" s="23">
        <v>11768900</v>
      </c>
      <c r="BF51" s="23">
        <f t="shared" si="10"/>
        <v>153.99683341402456</v>
      </c>
      <c r="BG51" s="23">
        <v>32922</v>
      </c>
      <c r="BH51" s="23">
        <v>14797653</v>
      </c>
      <c r="BI51" s="23">
        <f t="shared" si="13"/>
        <v>449.47612538727901</v>
      </c>
      <c r="BJ51" s="23">
        <v>72689</v>
      </c>
      <c r="BK51" s="23">
        <v>19642362</v>
      </c>
      <c r="BL51" s="23">
        <f t="shared" si="15"/>
        <v>270.22468323955479</v>
      </c>
      <c r="BM51" s="31">
        <v>132036</v>
      </c>
      <c r="BN51" s="31">
        <v>50494027</v>
      </c>
      <c r="BO51" s="23">
        <f t="shared" si="16"/>
        <v>382.42620951861613</v>
      </c>
    </row>
    <row r="52" spans="1:67">
      <c r="A52" s="4">
        <v>1912</v>
      </c>
      <c r="B52" s="19">
        <f t="shared" si="9"/>
        <v>158.74297370806892</v>
      </c>
      <c r="C52" s="4">
        <v>53.35</v>
      </c>
      <c r="D52" s="19">
        <f t="shared" si="17"/>
        <v>267.77021261714924</v>
      </c>
      <c r="E52" s="19">
        <f t="shared" si="18"/>
        <v>534.39706128596504</v>
      </c>
      <c r="F52" s="19">
        <f t="shared" si="4"/>
        <v>37.213043008593196</v>
      </c>
      <c r="G52" s="19">
        <f t="shared" si="5"/>
        <v>22.523858292778616</v>
      </c>
      <c r="H52" s="19">
        <f t="shared" si="6"/>
        <v>66.382676334257539</v>
      </c>
      <c r="I52" s="19">
        <f t="shared" si="7"/>
        <v>52.639306885544919</v>
      </c>
      <c r="J52" s="19">
        <f t="shared" si="19"/>
        <v>149.75287204192915</v>
      </c>
      <c r="L52" s="55">
        <f t="shared" si="14"/>
        <v>548.55450477610998</v>
      </c>
      <c r="M52" s="19">
        <f t="shared" si="20"/>
        <v>315.64064286621777</v>
      </c>
      <c r="N52" s="19">
        <f t="shared" si="21"/>
        <v>352.49305302975193</v>
      </c>
      <c r="O52" s="18"/>
      <c r="P52" s="18"/>
      <c r="Q52" s="36"/>
      <c r="R52" s="36"/>
      <c r="S52" s="36"/>
      <c r="T52" s="36"/>
      <c r="U52" s="36"/>
      <c r="V52" s="36"/>
      <c r="W52" s="36"/>
      <c r="X52" s="36"/>
      <c r="Y52" s="36"/>
      <c r="Z52" s="36"/>
      <c r="AA52" s="36"/>
      <c r="AB52" s="36"/>
      <c r="AC52" s="36"/>
      <c r="AD52" s="36"/>
      <c r="AE52" s="36"/>
      <c r="AF52" s="36"/>
      <c r="AG52" s="36"/>
      <c r="AH52" s="36"/>
      <c r="AI52" s="21">
        <v>8824</v>
      </c>
      <c r="AJ52" s="21">
        <v>1400748</v>
      </c>
      <c r="AK52" s="22">
        <f t="shared" si="8"/>
        <v>158.74297370806892</v>
      </c>
      <c r="AL52" s="21">
        <v>28596</v>
      </c>
      <c r="AM52" s="21">
        <v>7657157</v>
      </c>
      <c r="AN52" s="22">
        <f t="shared" si="11"/>
        <v>267.77021261714924</v>
      </c>
      <c r="AO52" s="21">
        <v>2305226</v>
      </c>
      <c r="AP52" s="21">
        <v>1231906</v>
      </c>
      <c r="AQ52" s="22">
        <f t="shared" si="12"/>
        <v>534.39706128596504</v>
      </c>
      <c r="AR52" s="23">
        <v>2629056</v>
      </c>
      <c r="AS52" s="23">
        <v>97835174</v>
      </c>
      <c r="AT52" s="22">
        <f t="shared" si="0"/>
        <v>37.213043008593196</v>
      </c>
      <c r="AU52" s="23">
        <v>4835237</v>
      </c>
      <c r="AV52" s="23">
        <v>108908193</v>
      </c>
      <c r="AW52" s="22">
        <f t="shared" si="1"/>
        <v>22.523858292778616</v>
      </c>
      <c r="AX52" s="23">
        <v>515399</v>
      </c>
      <c r="AY52" s="23">
        <v>34213565</v>
      </c>
      <c r="AZ52" s="23">
        <f t="shared" si="2"/>
        <v>66.382676334257539</v>
      </c>
      <c r="BA52" s="23">
        <v>131580</v>
      </c>
      <c r="BB52" s="23">
        <v>6926280</v>
      </c>
      <c r="BC52" s="23">
        <f t="shared" si="3"/>
        <v>52.639306885544919</v>
      </c>
      <c r="BD52" s="23">
        <v>75556</v>
      </c>
      <c r="BE52" s="23">
        <v>11314728</v>
      </c>
      <c r="BF52" s="23">
        <f t="shared" si="10"/>
        <v>149.75287204192915</v>
      </c>
      <c r="BG52" s="23">
        <v>31511</v>
      </c>
      <c r="BH52" s="23">
        <v>17285501</v>
      </c>
      <c r="BI52" s="23">
        <f t="shared" si="13"/>
        <v>548.55450477610998</v>
      </c>
      <c r="BJ52" s="23">
        <v>78710</v>
      </c>
      <c r="BK52" s="23">
        <v>24844075</v>
      </c>
      <c r="BL52" s="23">
        <f t="shared" si="15"/>
        <v>315.64064286621777</v>
      </c>
      <c r="BM52" s="31">
        <v>164964</v>
      </c>
      <c r="BN52" s="31">
        <v>58148664</v>
      </c>
      <c r="BO52" s="23">
        <f t="shared" si="16"/>
        <v>352.49305302975193</v>
      </c>
    </row>
    <row r="53" spans="1:67">
      <c r="A53" s="4">
        <v>1913</v>
      </c>
      <c r="B53" s="19">
        <f t="shared" si="9"/>
        <v>168.31125319693095</v>
      </c>
      <c r="C53" s="18">
        <v>63.34</v>
      </c>
      <c r="D53" s="19">
        <f t="shared" si="17"/>
        <v>293.61153158835276</v>
      </c>
      <c r="E53" s="19">
        <f t="shared" si="18"/>
        <v>584.3496455846572</v>
      </c>
      <c r="F53" s="19">
        <f>AT53</f>
        <v>36.495627721006251</v>
      </c>
      <c r="G53" s="19">
        <f t="shared" si="5"/>
        <v>23.360419941871676</v>
      </c>
      <c r="H53" s="19">
        <f t="shared" si="6"/>
        <v>49.088846421672578</v>
      </c>
      <c r="I53" s="19">
        <f t="shared" si="7"/>
        <v>57.954969554509063</v>
      </c>
      <c r="J53" s="19">
        <f t="shared" si="19"/>
        <v>157.62877839242975</v>
      </c>
      <c r="L53" s="55">
        <f t="shared" si="14"/>
        <v>659.2631603751355</v>
      </c>
      <c r="M53" s="19">
        <f t="shared" si="20"/>
        <v>373.26127290700327</v>
      </c>
      <c r="N53" s="19">
        <f t="shared" si="21"/>
        <v>376.99880079946701</v>
      </c>
      <c r="O53" s="18"/>
      <c r="P53" s="18"/>
      <c r="Q53" s="36"/>
      <c r="R53" s="36"/>
      <c r="S53" s="36"/>
      <c r="T53" s="36"/>
      <c r="U53" s="36"/>
      <c r="V53" s="36"/>
      <c r="W53" s="36"/>
      <c r="X53" s="36"/>
      <c r="Y53" s="36"/>
      <c r="Z53" s="36"/>
      <c r="AA53" s="36"/>
      <c r="AB53" s="36"/>
      <c r="AC53" s="36"/>
      <c r="AD53" s="36"/>
      <c r="AE53" s="36"/>
      <c r="AF53" s="36"/>
      <c r="AG53" s="36"/>
      <c r="AH53" s="36"/>
      <c r="AI53" s="21">
        <v>3910</v>
      </c>
      <c r="AJ53" s="21">
        <v>658097</v>
      </c>
      <c r="AK53" s="22">
        <f t="shared" si="8"/>
        <v>168.31125319693095</v>
      </c>
      <c r="AL53" s="21">
        <v>19026</v>
      </c>
      <c r="AM53" s="21">
        <v>5586253</v>
      </c>
      <c r="AN53" s="22">
        <f t="shared" si="11"/>
        <v>293.61153158835276</v>
      </c>
      <c r="AO53" s="21">
        <v>1990038</v>
      </c>
      <c r="AP53" s="21">
        <v>1162878</v>
      </c>
      <c r="AQ53" s="22">
        <f>AP53/(AO53/1000)</f>
        <v>584.3496455846572</v>
      </c>
      <c r="AR53" s="23">
        <v>2812149</v>
      </c>
      <c r="AS53" s="23">
        <v>102631143</v>
      </c>
      <c r="AT53" s="22">
        <f t="shared" si="0"/>
        <v>36.495627721006251</v>
      </c>
      <c r="AU53" s="23">
        <v>4806951</v>
      </c>
      <c r="AV53" s="23">
        <v>112292394</v>
      </c>
      <c r="AW53" s="22">
        <f t="shared" si="1"/>
        <v>23.360419941871676</v>
      </c>
      <c r="AX53" s="23">
        <v>1016732</v>
      </c>
      <c r="AY53" s="23">
        <v>49910201</v>
      </c>
      <c r="AZ53" s="23">
        <f t="shared" si="2"/>
        <v>49.088846421672578</v>
      </c>
      <c r="BA53" s="23">
        <v>124649</v>
      </c>
      <c r="BB53" s="23">
        <v>7224029</v>
      </c>
      <c r="BC53" s="23">
        <f t="shared" si="3"/>
        <v>57.954969554509063</v>
      </c>
      <c r="BD53" s="23">
        <v>63089</v>
      </c>
      <c r="BE53" s="23">
        <v>9944642</v>
      </c>
      <c r="BF53" s="23">
        <f t="shared" si="10"/>
        <v>157.62877839242975</v>
      </c>
      <c r="BG53" s="23">
        <v>21219</v>
      </c>
      <c r="BH53" s="23">
        <v>13988905</v>
      </c>
      <c r="BI53" s="23">
        <f t="shared" si="13"/>
        <v>659.2631603751355</v>
      </c>
      <c r="BJ53" s="23">
        <v>65755</v>
      </c>
      <c r="BK53" s="23">
        <v>24543795</v>
      </c>
      <c r="BL53" s="23">
        <f t="shared" si="15"/>
        <v>373.26127290700327</v>
      </c>
      <c r="BM53" s="31">
        <v>120080</v>
      </c>
      <c r="BN53" s="31">
        <v>45270016</v>
      </c>
      <c r="BO53" s="23">
        <f t="shared" si="16"/>
        <v>376.99880079946701</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35"/>
  <sheetViews>
    <sheetView topLeftCell="A2" workbookViewId="0">
      <pane xSplit="1" ySplit="2" topLeftCell="B4" activePane="bottomRight" state="frozen"/>
      <selection activeCell="A2" sqref="A2"/>
      <selection pane="topRight" activeCell="B2" sqref="B2"/>
      <selection pane="bottomLeft" activeCell="A4" sqref="A4"/>
      <selection pane="bottomRight" activeCell="K4" sqref="K4"/>
    </sheetView>
  </sheetViews>
  <sheetFormatPr baseColWidth="10" defaultRowHeight="13"/>
  <cols>
    <col min="1" max="1" width="6.28515625" customWidth="1"/>
  </cols>
  <sheetData>
    <row r="1" spans="1:50"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5">
      <c r="A2" s="4"/>
      <c r="B2" s="4" t="s">
        <v>37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39" customFormat="1" ht="75">
      <c r="A3" s="16"/>
      <c r="B3" s="16" t="s">
        <v>360</v>
      </c>
      <c r="C3" s="16" t="s">
        <v>361</v>
      </c>
      <c r="D3" s="16" t="s">
        <v>189</v>
      </c>
      <c r="E3" s="16" t="s">
        <v>362</v>
      </c>
      <c r="F3" s="16" t="s">
        <v>190</v>
      </c>
      <c r="G3" s="16" t="s">
        <v>196</v>
      </c>
      <c r="H3" s="16" t="s">
        <v>197</v>
      </c>
      <c r="I3" s="16" t="s">
        <v>198</v>
      </c>
      <c r="J3" s="16" t="s">
        <v>199</v>
      </c>
      <c r="K3" s="16" t="s">
        <v>200</v>
      </c>
      <c r="L3" s="16" t="s">
        <v>343</v>
      </c>
      <c r="M3" s="16" t="s">
        <v>344</v>
      </c>
      <c r="N3" s="16" t="s">
        <v>191</v>
      </c>
      <c r="O3" s="16" t="s">
        <v>334</v>
      </c>
      <c r="P3" s="16" t="s">
        <v>201</v>
      </c>
      <c r="Q3" s="16" t="s">
        <v>346</v>
      </c>
      <c r="R3" s="16" t="s">
        <v>278</v>
      </c>
      <c r="S3" s="16" t="s">
        <v>279</v>
      </c>
      <c r="T3" s="16" t="s">
        <v>363</v>
      </c>
      <c r="U3" s="16" t="s">
        <v>280</v>
      </c>
      <c r="V3" s="16" t="s">
        <v>281</v>
      </c>
      <c r="W3" s="16" t="s">
        <v>282</v>
      </c>
      <c r="X3" s="16" t="s">
        <v>283</v>
      </c>
      <c r="Y3" s="16" t="s">
        <v>104</v>
      </c>
      <c r="Z3" s="16" t="s">
        <v>105</v>
      </c>
      <c r="AA3" s="16" t="s">
        <v>106</v>
      </c>
      <c r="AB3" s="16" t="s">
        <v>107</v>
      </c>
      <c r="AC3" s="16" t="s">
        <v>284</v>
      </c>
      <c r="AD3" s="16"/>
      <c r="AE3" s="16"/>
      <c r="AF3" s="16"/>
      <c r="AG3" s="16"/>
      <c r="AH3" s="16"/>
      <c r="AI3" s="16"/>
      <c r="AJ3" s="16"/>
      <c r="AK3" s="16"/>
      <c r="AL3" s="16"/>
      <c r="AM3" s="16"/>
      <c r="AN3" s="16"/>
      <c r="AO3" s="16"/>
      <c r="AP3" s="16"/>
      <c r="AQ3" s="16"/>
      <c r="AR3" s="16"/>
      <c r="AS3" s="16"/>
      <c r="AT3" s="16"/>
      <c r="AU3" s="16"/>
      <c r="AV3" s="16"/>
      <c r="AW3" s="16"/>
      <c r="AX3" s="16"/>
    </row>
    <row r="4" spans="1:50" s="39" customFormat="1" ht="15">
      <c r="A4" s="37">
        <v>1910</v>
      </c>
      <c r="B4" s="49">
        <v>140</v>
      </c>
      <c r="C4" s="49">
        <v>140</v>
      </c>
      <c r="D4" s="49">
        <v>176</v>
      </c>
      <c r="E4" s="16"/>
      <c r="F4" s="16"/>
      <c r="G4" s="16"/>
      <c r="H4" s="107">
        <v>163.19999999999999</v>
      </c>
      <c r="I4" s="16"/>
      <c r="J4" s="107">
        <v>630</v>
      </c>
      <c r="K4" s="107">
        <v>390.7</v>
      </c>
      <c r="L4" s="16"/>
      <c r="M4" s="16"/>
      <c r="N4" s="107">
        <v>460.9</v>
      </c>
      <c r="O4" s="107">
        <v>277.7</v>
      </c>
      <c r="P4" s="107">
        <v>270</v>
      </c>
      <c r="Q4" s="16"/>
      <c r="R4" s="107">
        <v>38.33</v>
      </c>
      <c r="S4" s="107">
        <v>42.86</v>
      </c>
      <c r="T4" s="107">
        <v>22.65</v>
      </c>
      <c r="U4" s="107">
        <v>73.739999999999995</v>
      </c>
      <c r="V4" s="107">
        <v>21.95</v>
      </c>
      <c r="W4" s="107">
        <v>12.5</v>
      </c>
      <c r="X4" s="107">
        <v>27.7</v>
      </c>
      <c r="Y4" s="107">
        <v>18.03</v>
      </c>
      <c r="Z4" s="16"/>
      <c r="AA4" s="107">
        <v>180</v>
      </c>
      <c r="AB4" s="107">
        <v>16.38</v>
      </c>
      <c r="AC4" s="107">
        <v>83.21</v>
      </c>
      <c r="AD4" s="16"/>
      <c r="AE4" s="16"/>
      <c r="AF4" s="16"/>
      <c r="AG4" s="16"/>
      <c r="AH4" s="16"/>
      <c r="AI4" s="16"/>
      <c r="AJ4" s="16"/>
      <c r="AK4" s="16"/>
      <c r="AL4" s="16"/>
      <c r="AM4" s="16"/>
      <c r="AN4" s="16"/>
      <c r="AO4" s="16"/>
      <c r="AP4" s="16"/>
      <c r="AQ4" s="16"/>
      <c r="AR4" s="16"/>
      <c r="AS4" s="16"/>
      <c r="AT4" s="16"/>
      <c r="AU4" s="16"/>
      <c r="AV4" s="16"/>
      <c r="AW4" s="16"/>
      <c r="AX4" s="16"/>
    </row>
    <row r="5" spans="1:50" s="39" customFormat="1" ht="15">
      <c r="A5" s="37">
        <v>1911</v>
      </c>
      <c r="B5" s="49">
        <v>141</v>
      </c>
      <c r="C5" s="49">
        <v>141</v>
      </c>
      <c r="D5" s="49">
        <v>242</v>
      </c>
      <c r="E5" s="16"/>
      <c r="F5" s="16"/>
      <c r="G5" s="16"/>
      <c r="H5" s="107">
        <v>154</v>
      </c>
      <c r="I5" s="16"/>
      <c r="J5" s="107">
        <v>665</v>
      </c>
      <c r="K5" s="107">
        <v>382.42</v>
      </c>
      <c r="L5" s="16"/>
      <c r="M5" s="16"/>
      <c r="N5" s="107">
        <v>449</v>
      </c>
      <c r="O5" s="107">
        <v>270</v>
      </c>
      <c r="P5" s="107">
        <v>258</v>
      </c>
      <c r="Q5" s="16"/>
      <c r="R5" s="107">
        <v>35.29</v>
      </c>
      <c r="S5" s="107">
        <v>40</v>
      </c>
      <c r="T5" s="107">
        <v>22.1</v>
      </c>
      <c r="U5" s="107">
        <v>80.7</v>
      </c>
      <c r="V5" s="107">
        <v>22.81</v>
      </c>
      <c r="W5" s="107">
        <v>12.5</v>
      </c>
      <c r="X5" s="107">
        <v>21.95</v>
      </c>
      <c r="Y5" s="107">
        <v>21.49</v>
      </c>
      <c r="Z5" s="16"/>
      <c r="AA5" s="107">
        <v>180</v>
      </c>
      <c r="AB5" s="107">
        <v>15.74</v>
      </c>
      <c r="AC5" s="107">
        <v>72.77</v>
      </c>
      <c r="AD5" s="16"/>
      <c r="AE5" s="16"/>
      <c r="AF5" s="16"/>
      <c r="AG5" s="16"/>
      <c r="AH5" s="16"/>
      <c r="AI5" s="16"/>
      <c r="AJ5" s="16"/>
      <c r="AK5" s="16"/>
      <c r="AL5" s="16"/>
      <c r="AM5" s="16"/>
      <c r="AN5" s="16"/>
      <c r="AO5" s="16"/>
      <c r="AP5" s="16"/>
      <c r="AQ5" s="16"/>
      <c r="AR5" s="16"/>
      <c r="AS5" s="16"/>
      <c r="AT5" s="16"/>
      <c r="AU5" s="16"/>
      <c r="AV5" s="16"/>
      <c r="AW5" s="16"/>
      <c r="AX5" s="16"/>
    </row>
    <row r="6" spans="1:50" s="39" customFormat="1" ht="15">
      <c r="A6" s="37">
        <v>1912</v>
      </c>
      <c r="B6" s="49">
        <v>146</v>
      </c>
      <c r="C6" s="49">
        <v>146</v>
      </c>
      <c r="D6" s="49">
        <v>198</v>
      </c>
      <c r="E6" s="16"/>
      <c r="F6" s="16"/>
      <c r="G6" s="16"/>
      <c r="H6" s="47">
        <v>149.75</v>
      </c>
      <c r="I6" s="16"/>
      <c r="J6" s="107">
        <v>655</v>
      </c>
      <c r="K6" s="107">
        <v>352.49</v>
      </c>
      <c r="L6" s="16"/>
      <c r="M6" s="16"/>
      <c r="N6" s="107">
        <v>548.6</v>
      </c>
      <c r="O6" s="107">
        <v>315.60000000000002</v>
      </c>
      <c r="P6" s="107">
        <v>268</v>
      </c>
      <c r="Q6" s="16"/>
      <c r="R6" s="107">
        <v>37.21</v>
      </c>
      <c r="S6" s="107">
        <v>52.64</v>
      </c>
      <c r="T6" s="107">
        <v>22.52</v>
      </c>
      <c r="U6" s="107">
        <v>66.38</v>
      </c>
      <c r="V6" s="107">
        <v>24.39</v>
      </c>
      <c r="W6" s="107">
        <v>24</v>
      </c>
      <c r="X6" s="107">
        <v>23.75</v>
      </c>
      <c r="Y6" s="107">
        <v>18.260000000000002</v>
      </c>
      <c r="Z6" s="16"/>
      <c r="AA6" s="107">
        <v>189</v>
      </c>
      <c r="AB6" s="107">
        <v>12.78</v>
      </c>
      <c r="AC6" s="107">
        <v>64.569999999999993</v>
      </c>
      <c r="AD6" s="16"/>
      <c r="AE6" s="16"/>
      <c r="AF6" s="16"/>
      <c r="AG6" s="16"/>
      <c r="AH6" s="16"/>
      <c r="AI6" s="16"/>
      <c r="AJ6" s="16"/>
      <c r="AK6" s="16"/>
      <c r="AL6" s="16"/>
      <c r="AM6" s="16"/>
      <c r="AN6" s="16"/>
      <c r="AO6" s="16"/>
      <c r="AP6" s="16"/>
      <c r="AQ6" s="16"/>
      <c r="AR6" s="16"/>
      <c r="AS6" s="16"/>
      <c r="AT6" s="16"/>
      <c r="AU6" s="16"/>
      <c r="AV6" s="16"/>
      <c r="AW6" s="16"/>
      <c r="AX6" s="16"/>
    </row>
    <row r="7" spans="1:50" s="39" customFormat="1" ht="15">
      <c r="A7" s="37">
        <v>1913</v>
      </c>
      <c r="B7" s="49">
        <v>178</v>
      </c>
      <c r="C7" s="49">
        <v>178</v>
      </c>
      <c r="D7" s="49">
        <v>176</v>
      </c>
      <c r="E7" s="16"/>
      <c r="F7" s="16"/>
      <c r="G7" s="16"/>
      <c r="H7" s="47">
        <v>157.63</v>
      </c>
      <c r="I7" s="16"/>
      <c r="J7" s="107">
        <v>604</v>
      </c>
      <c r="K7" s="107">
        <v>377</v>
      </c>
      <c r="L7" s="16"/>
      <c r="M7" s="16"/>
      <c r="N7" s="107">
        <v>659.26</v>
      </c>
      <c r="O7" s="107">
        <v>373.26</v>
      </c>
      <c r="P7" s="107">
        <v>293.61</v>
      </c>
      <c r="Q7" s="16"/>
      <c r="R7" s="107">
        <v>36.49</v>
      </c>
      <c r="S7" s="107">
        <v>57.95</v>
      </c>
      <c r="T7" s="107">
        <v>23.36</v>
      </c>
      <c r="U7" s="107">
        <v>49.09</v>
      </c>
      <c r="V7" s="107">
        <v>22.98</v>
      </c>
      <c r="W7" s="107">
        <v>25.93</v>
      </c>
      <c r="X7" s="107">
        <v>24.47</v>
      </c>
      <c r="Y7" s="107">
        <v>17.29</v>
      </c>
      <c r="Z7" s="16"/>
      <c r="AA7" s="107">
        <v>172</v>
      </c>
      <c r="AB7" s="107">
        <v>12.99</v>
      </c>
      <c r="AC7" s="107">
        <v>62.43</v>
      </c>
      <c r="AD7" s="16"/>
      <c r="AE7" s="16"/>
      <c r="AF7" s="16"/>
      <c r="AG7" s="16"/>
      <c r="AH7" s="16"/>
      <c r="AI7" s="16"/>
      <c r="AJ7" s="16"/>
      <c r="AK7" s="16"/>
      <c r="AL7" s="16"/>
      <c r="AM7" s="16"/>
      <c r="AN7" s="16"/>
      <c r="AO7" s="16"/>
      <c r="AP7" s="16"/>
      <c r="AQ7" s="16"/>
      <c r="AR7" s="16"/>
      <c r="AS7" s="16"/>
      <c r="AT7" s="16"/>
      <c r="AU7" s="16"/>
      <c r="AV7" s="16"/>
      <c r="AW7" s="16"/>
      <c r="AX7" s="16"/>
    </row>
    <row r="8" spans="1:50" ht="15">
      <c r="A8" s="37">
        <v>1914</v>
      </c>
      <c r="B8" s="41">
        <v>203</v>
      </c>
      <c r="C8" s="46">
        <v>203</v>
      </c>
      <c r="D8" s="48">
        <v>286</v>
      </c>
      <c r="E8" s="41"/>
      <c r="F8" s="41"/>
      <c r="G8" s="41"/>
      <c r="H8" s="42">
        <v>147.33000000000001</v>
      </c>
      <c r="I8" s="41"/>
      <c r="J8" s="41">
        <v>648.12</v>
      </c>
      <c r="K8" s="41">
        <v>400.51</v>
      </c>
      <c r="L8" s="41"/>
      <c r="M8" s="41"/>
      <c r="N8" s="41">
        <v>611.54999999999995</v>
      </c>
      <c r="O8" s="41">
        <v>361.87</v>
      </c>
      <c r="P8" s="41">
        <v>309.07</v>
      </c>
      <c r="Q8" s="41">
        <v>200.15</v>
      </c>
      <c r="R8" s="41">
        <v>37.9</v>
      </c>
      <c r="S8" s="4">
        <v>66.55</v>
      </c>
      <c r="T8" s="41">
        <v>21.94</v>
      </c>
      <c r="U8" s="43">
        <v>51.03</v>
      </c>
      <c r="V8" s="41">
        <v>25.06</v>
      </c>
      <c r="W8" s="41">
        <v>27.99</v>
      </c>
      <c r="X8" s="41">
        <v>24.33</v>
      </c>
      <c r="Y8" s="41">
        <v>18.43</v>
      </c>
      <c r="Z8" s="41">
        <v>246.01</v>
      </c>
      <c r="AA8" s="41">
        <v>172</v>
      </c>
      <c r="AB8" s="48">
        <v>12.94</v>
      </c>
      <c r="AC8" s="48">
        <v>64.709999999999994</v>
      </c>
      <c r="AD8" s="41"/>
      <c r="AE8" s="41"/>
      <c r="AF8" s="41"/>
      <c r="AG8" s="41"/>
      <c r="AH8" s="41"/>
      <c r="AI8" s="41"/>
      <c r="AJ8" s="41"/>
      <c r="AK8" s="41"/>
      <c r="AL8" s="41"/>
      <c r="AM8" s="41"/>
      <c r="AN8" s="41"/>
      <c r="AO8" s="41"/>
      <c r="AP8" s="41"/>
      <c r="AQ8" s="41"/>
      <c r="AR8" s="41"/>
      <c r="AS8" s="41"/>
      <c r="AT8" s="41"/>
      <c r="AU8" s="41"/>
      <c r="AV8" s="31">
        <v>916208</v>
      </c>
      <c r="AW8" s="31">
        <v>349254</v>
      </c>
      <c r="AX8" s="38">
        <f>AV8/AW8</f>
        <v>2.6233285803455364</v>
      </c>
    </row>
    <row r="9" spans="1:50" ht="15">
      <c r="A9" s="37">
        <v>1915</v>
      </c>
      <c r="B9" s="41">
        <v>216</v>
      </c>
      <c r="C9" s="46">
        <v>216</v>
      </c>
      <c r="D9" s="48">
        <v>352</v>
      </c>
      <c r="E9" s="41"/>
      <c r="F9" s="41"/>
      <c r="G9" s="41"/>
      <c r="H9" s="42">
        <v>155.72</v>
      </c>
      <c r="I9" s="41"/>
      <c r="J9" s="41">
        <v>668.1</v>
      </c>
      <c r="K9" s="41">
        <v>472.33</v>
      </c>
      <c r="L9" s="41"/>
      <c r="M9" s="41"/>
      <c r="N9" s="41">
        <v>597.77</v>
      </c>
      <c r="O9" s="41">
        <v>427.76</v>
      </c>
      <c r="P9" s="41">
        <v>336.5</v>
      </c>
      <c r="Q9" s="41">
        <v>200.31</v>
      </c>
      <c r="R9" s="41">
        <v>52.81</v>
      </c>
      <c r="S9" s="41">
        <v>86.79</v>
      </c>
      <c r="T9" s="41">
        <v>21.58</v>
      </c>
      <c r="U9" s="43">
        <v>46.98</v>
      </c>
      <c r="V9" s="4">
        <v>32.159999999999997</v>
      </c>
      <c r="W9" s="41">
        <v>33.03</v>
      </c>
      <c r="X9" s="41">
        <v>26.29</v>
      </c>
      <c r="Y9" s="41">
        <v>11.15</v>
      </c>
      <c r="Z9" s="41">
        <v>239.31</v>
      </c>
      <c r="AA9" s="41">
        <v>176</v>
      </c>
      <c r="AB9" s="41">
        <v>12.8</v>
      </c>
      <c r="AC9" s="41">
        <v>158.38999999999999</v>
      </c>
      <c r="AD9" s="41"/>
      <c r="AE9" s="41"/>
      <c r="AF9" s="41"/>
      <c r="AG9" s="41"/>
      <c r="AH9" s="41"/>
      <c r="AI9" s="41"/>
      <c r="AJ9" s="41"/>
      <c r="AK9" s="41"/>
      <c r="AL9" s="41"/>
      <c r="AM9" s="41"/>
      <c r="AN9" s="41"/>
      <c r="AO9" s="41"/>
      <c r="AP9" s="41"/>
      <c r="AQ9" s="41"/>
      <c r="AR9" s="41"/>
      <c r="AS9" s="41"/>
      <c r="AT9" s="41"/>
      <c r="AU9" s="41"/>
      <c r="AV9" s="31">
        <v>1323135</v>
      </c>
      <c r="AW9" s="31">
        <v>558281</v>
      </c>
      <c r="AX9" s="38">
        <f t="shared" ref="AX9:AX32" si="0">AV9/AW9</f>
        <v>2.3700161746504</v>
      </c>
    </row>
    <row r="10" spans="1:50" ht="15">
      <c r="A10" s="37">
        <v>1916</v>
      </c>
      <c r="B10" s="41">
        <v>228.6</v>
      </c>
      <c r="C10" s="46">
        <v>228.66</v>
      </c>
      <c r="D10" s="48">
        <v>418</v>
      </c>
      <c r="E10" s="41">
        <v>193.49</v>
      </c>
      <c r="F10" s="41">
        <v>50</v>
      </c>
      <c r="G10" s="41">
        <v>65</v>
      </c>
      <c r="H10" s="42">
        <v>191.36</v>
      </c>
      <c r="I10" s="41">
        <v>200</v>
      </c>
      <c r="J10" s="41">
        <v>763.12</v>
      </c>
      <c r="K10" s="41">
        <v>546.32000000000005</v>
      </c>
      <c r="L10" s="41">
        <v>500.02</v>
      </c>
      <c r="M10" s="41"/>
      <c r="N10" s="41">
        <v>753.37</v>
      </c>
      <c r="O10" s="41">
        <v>493.2</v>
      </c>
      <c r="P10" s="41">
        <v>417.55</v>
      </c>
      <c r="Q10" s="41">
        <v>500.16</v>
      </c>
      <c r="R10" s="41">
        <v>42.1</v>
      </c>
      <c r="S10" s="41">
        <v>68.180000000000007</v>
      </c>
      <c r="T10" s="41">
        <v>25.69</v>
      </c>
      <c r="U10" s="43">
        <v>58.96</v>
      </c>
      <c r="V10" s="41">
        <v>21.91</v>
      </c>
      <c r="W10" s="41">
        <v>33.31</v>
      </c>
      <c r="X10" s="41">
        <v>25.59</v>
      </c>
      <c r="Y10" s="41">
        <v>16.02</v>
      </c>
      <c r="Z10" s="41">
        <v>342.7</v>
      </c>
      <c r="AA10" s="41">
        <v>229.11</v>
      </c>
      <c r="AB10" s="41">
        <v>14.35</v>
      </c>
      <c r="AC10" s="41">
        <v>201.51</v>
      </c>
      <c r="AD10" s="41"/>
      <c r="AE10" s="41"/>
      <c r="AF10" s="41"/>
      <c r="AG10" s="41"/>
      <c r="AH10" s="41"/>
      <c r="AI10" s="41"/>
      <c r="AJ10" s="41"/>
      <c r="AK10" s="41"/>
      <c r="AL10" s="41"/>
      <c r="AM10" s="41"/>
      <c r="AN10" s="41"/>
      <c r="AO10" s="41"/>
      <c r="AP10" s="41"/>
      <c r="AQ10" s="41"/>
      <c r="AR10" s="41"/>
      <c r="AS10" s="41"/>
      <c r="AT10" s="41"/>
      <c r="AU10" s="41"/>
      <c r="AV10" s="31">
        <v>1302272</v>
      </c>
      <c r="AW10" s="31">
        <v>543346</v>
      </c>
      <c r="AX10" s="38">
        <f t="shared" si="0"/>
        <v>2.3967637564277644</v>
      </c>
    </row>
    <row r="11" spans="1:50" ht="15">
      <c r="A11" s="37">
        <v>1917</v>
      </c>
      <c r="B11" s="41">
        <v>229.27</v>
      </c>
      <c r="C11" s="46">
        <v>200.38</v>
      </c>
      <c r="D11" s="41">
        <v>364</v>
      </c>
      <c r="E11" s="41">
        <v>196.74</v>
      </c>
      <c r="F11" s="41">
        <v>65.72</v>
      </c>
      <c r="G11" s="41">
        <v>219.92</v>
      </c>
      <c r="H11" s="42">
        <v>296.3</v>
      </c>
      <c r="I11" s="41">
        <v>284.19</v>
      </c>
      <c r="J11" s="41">
        <v>793.42</v>
      </c>
      <c r="K11" s="41">
        <v>794.93</v>
      </c>
      <c r="L11" s="41">
        <v>2111.8200000000002</v>
      </c>
      <c r="M11" s="41"/>
      <c r="N11" s="41">
        <v>770.25</v>
      </c>
      <c r="O11" s="41">
        <v>532.12</v>
      </c>
      <c r="P11" s="41">
        <v>610.38</v>
      </c>
      <c r="Q11" s="41">
        <v>658.3</v>
      </c>
      <c r="R11" s="41">
        <v>64.790000000000006</v>
      </c>
      <c r="S11" s="41">
        <v>117.3</v>
      </c>
      <c r="T11" s="41">
        <v>43.92</v>
      </c>
      <c r="U11" s="43">
        <v>91.49</v>
      </c>
      <c r="V11" s="41">
        <v>38.97</v>
      </c>
      <c r="W11" s="41">
        <v>104</v>
      </c>
      <c r="X11" s="41">
        <v>43.77</v>
      </c>
      <c r="Y11" s="41">
        <v>19.100000000000001</v>
      </c>
      <c r="Z11" s="41">
        <v>341.68</v>
      </c>
      <c r="AA11" s="41">
        <v>261</v>
      </c>
      <c r="AB11" s="41">
        <v>15.19</v>
      </c>
      <c r="AC11" s="41">
        <v>155.76</v>
      </c>
      <c r="AD11" s="41"/>
      <c r="AE11" s="41"/>
      <c r="AF11" s="41"/>
      <c r="AG11" s="41"/>
      <c r="AH11" s="41"/>
      <c r="AI11" s="41"/>
      <c r="AJ11" s="41"/>
      <c r="AK11" s="41"/>
      <c r="AL11" s="41"/>
      <c r="AM11" s="41"/>
      <c r="AN11" s="41"/>
      <c r="AO11" s="41"/>
      <c r="AP11" s="41"/>
      <c r="AQ11" s="41"/>
      <c r="AR11" s="41"/>
      <c r="AS11" s="41"/>
      <c r="AT11" s="41"/>
      <c r="AU11" s="41"/>
      <c r="AV11" s="31">
        <v>1250386</v>
      </c>
      <c r="AW11" s="31">
        <v>550170</v>
      </c>
      <c r="AX11" s="38">
        <f t="shared" si="0"/>
        <v>2.2727266117745426</v>
      </c>
    </row>
    <row r="12" spans="1:50" ht="15">
      <c r="A12" s="37">
        <v>1918</v>
      </c>
      <c r="B12" s="41">
        <v>240.07</v>
      </c>
      <c r="C12" s="46">
        <v>287.63</v>
      </c>
      <c r="D12" s="41">
        <v>486</v>
      </c>
      <c r="E12" s="41">
        <v>245.28</v>
      </c>
      <c r="F12" s="41">
        <v>134.66999999999999</v>
      </c>
      <c r="G12" s="41">
        <v>205.04</v>
      </c>
      <c r="H12" s="42">
        <v>276.52999999999997</v>
      </c>
      <c r="I12" s="41">
        <v>188.49</v>
      </c>
      <c r="J12" s="41">
        <v>842.99</v>
      </c>
      <c r="K12" s="41">
        <v>973.84</v>
      </c>
      <c r="L12" s="41">
        <v>1498.72</v>
      </c>
      <c r="M12" s="41"/>
      <c r="N12" s="41">
        <v>693.52</v>
      </c>
      <c r="O12" s="41">
        <v>448.95</v>
      </c>
      <c r="P12" s="41">
        <v>611.22</v>
      </c>
      <c r="Q12" s="41">
        <v>358.34</v>
      </c>
      <c r="R12" s="41">
        <v>55.98</v>
      </c>
      <c r="S12" s="41">
        <v>83.05</v>
      </c>
      <c r="T12" s="41">
        <v>24.84</v>
      </c>
      <c r="U12" s="43">
        <v>93.38</v>
      </c>
      <c r="V12" s="41">
        <v>31.45</v>
      </c>
      <c r="W12" s="41">
        <v>42.65</v>
      </c>
      <c r="X12" s="41">
        <v>27.93</v>
      </c>
      <c r="Y12" s="41">
        <v>14.52</v>
      </c>
      <c r="Z12" s="41">
        <v>504</v>
      </c>
      <c r="AA12" s="41">
        <v>320.44</v>
      </c>
      <c r="AB12" s="41">
        <v>16.690000000000001</v>
      </c>
      <c r="AC12" s="41">
        <v>102.82</v>
      </c>
      <c r="AD12" s="41"/>
      <c r="AE12" s="41"/>
      <c r="AF12" s="41"/>
      <c r="AG12" s="41"/>
      <c r="AH12" s="41"/>
      <c r="AI12" s="41"/>
      <c r="AJ12" s="41"/>
      <c r="AK12" s="41"/>
      <c r="AL12" s="41"/>
      <c r="AM12" s="41"/>
      <c r="AN12" s="41"/>
      <c r="AO12" s="41"/>
      <c r="AP12" s="41"/>
      <c r="AQ12" s="41"/>
      <c r="AR12" s="41"/>
      <c r="AS12" s="41"/>
      <c r="AT12" s="41"/>
      <c r="AU12" s="41"/>
      <c r="AV12" s="31">
        <v>1821515</v>
      </c>
      <c r="AW12" s="31">
        <v>801446</v>
      </c>
      <c r="AX12" s="38">
        <f t="shared" si="0"/>
        <v>2.2727856898655681</v>
      </c>
    </row>
    <row r="13" spans="1:50" ht="15">
      <c r="A13" s="37">
        <v>1919</v>
      </c>
      <c r="B13" s="41">
        <v>344.38</v>
      </c>
      <c r="C13" s="46">
        <v>365.66</v>
      </c>
      <c r="D13" s="41">
        <v>565</v>
      </c>
      <c r="E13" s="41">
        <v>302.14</v>
      </c>
      <c r="F13" s="41">
        <v>93.1</v>
      </c>
      <c r="G13" s="41">
        <v>211.13</v>
      </c>
      <c r="H13" s="42">
        <v>319.47000000000003</v>
      </c>
      <c r="I13" s="41">
        <v>149.21</v>
      </c>
      <c r="J13" s="41">
        <v>842.98</v>
      </c>
      <c r="K13" s="41">
        <v>924.71</v>
      </c>
      <c r="L13" s="41">
        <v>1140</v>
      </c>
      <c r="M13" s="41"/>
      <c r="N13" s="41">
        <v>843.14</v>
      </c>
      <c r="O13" s="41">
        <v>671.8</v>
      </c>
      <c r="P13" s="41">
        <v>540.79</v>
      </c>
      <c r="Q13" s="41">
        <v>313.25</v>
      </c>
      <c r="R13" s="41">
        <v>61.37</v>
      </c>
      <c r="S13" s="41">
        <v>88.06</v>
      </c>
      <c r="T13" s="41">
        <v>30.89</v>
      </c>
      <c r="U13" s="43">
        <v>129.82</v>
      </c>
      <c r="V13" s="41">
        <v>31.09</v>
      </c>
      <c r="W13" s="41">
        <v>38.94</v>
      </c>
      <c r="X13" s="41">
        <v>33.86</v>
      </c>
      <c r="Y13" s="41">
        <v>17.72</v>
      </c>
      <c r="Z13" s="41">
        <v>267.10000000000002</v>
      </c>
      <c r="AA13" s="41">
        <v>214</v>
      </c>
      <c r="AB13" s="41">
        <v>20.73</v>
      </c>
      <c r="AC13" s="41">
        <v>168.75</v>
      </c>
      <c r="AD13" s="41"/>
      <c r="AE13" s="41"/>
      <c r="AF13" s="41"/>
      <c r="AG13" s="41"/>
      <c r="AH13" s="41"/>
      <c r="AI13" s="41"/>
      <c r="AJ13" s="41"/>
      <c r="AK13" s="41"/>
      <c r="AL13" s="41"/>
      <c r="AM13" s="41"/>
      <c r="AN13" s="41"/>
      <c r="AO13" s="41"/>
      <c r="AP13" s="41"/>
      <c r="AQ13" s="41"/>
      <c r="AR13" s="41"/>
      <c r="AS13" s="41"/>
      <c r="AT13" s="41"/>
      <c r="AU13" s="41"/>
      <c r="AV13" s="31">
        <v>2343103</v>
      </c>
      <c r="AW13" s="31">
        <v>1030965</v>
      </c>
      <c r="AX13" s="38">
        <f t="shared" si="0"/>
        <v>2.2727279781563876</v>
      </c>
    </row>
    <row r="14" spans="1:50" ht="15">
      <c r="A14" s="37">
        <v>1920</v>
      </c>
      <c r="B14" s="41">
        <v>261.7</v>
      </c>
      <c r="C14" s="46">
        <v>261.7</v>
      </c>
      <c r="D14" s="41">
        <v>386.52</v>
      </c>
      <c r="E14" s="41">
        <v>258.5</v>
      </c>
      <c r="F14" s="41">
        <v>137.99</v>
      </c>
      <c r="G14" s="41">
        <v>197.99</v>
      </c>
      <c r="H14" s="42">
        <v>285.58</v>
      </c>
      <c r="I14" s="41">
        <v>147.79</v>
      </c>
      <c r="J14" s="41">
        <v>842.99</v>
      </c>
      <c r="K14" s="41">
        <v>725.7</v>
      </c>
      <c r="L14" s="41">
        <v>933</v>
      </c>
      <c r="M14" s="41">
        <v>693.58</v>
      </c>
      <c r="N14" s="41">
        <v>667.14</v>
      </c>
      <c r="O14" s="41">
        <v>585.91999999999996</v>
      </c>
      <c r="P14" s="41">
        <v>477.36</v>
      </c>
      <c r="Q14" s="41">
        <v>331.66</v>
      </c>
      <c r="R14" s="41">
        <v>68.34</v>
      </c>
      <c r="S14" s="41">
        <v>103.69</v>
      </c>
      <c r="T14" s="41">
        <v>37.049999999999997</v>
      </c>
      <c r="U14" s="43">
        <v>108.94</v>
      </c>
      <c r="V14" s="41">
        <v>37.19</v>
      </c>
      <c r="W14" s="41">
        <v>65.64</v>
      </c>
      <c r="X14" s="41">
        <v>41.74</v>
      </c>
      <c r="Y14" s="41">
        <v>28.27</v>
      </c>
      <c r="Z14" s="41">
        <v>379.24</v>
      </c>
      <c r="AA14" s="41">
        <v>238.82</v>
      </c>
      <c r="AB14" s="41">
        <v>24.48</v>
      </c>
      <c r="AC14" s="41">
        <v>163.56</v>
      </c>
      <c r="AD14" s="41"/>
      <c r="AE14" s="41"/>
      <c r="AF14" s="41"/>
      <c r="AG14" s="41"/>
      <c r="AH14" s="41"/>
      <c r="AI14" s="41"/>
      <c r="AJ14" s="41"/>
      <c r="AK14" s="41"/>
      <c r="AL14" s="41"/>
      <c r="AM14" s="41"/>
      <c r="AN14" s="41"/>
      <c r="AO14" s="41"/>
      <c r="AP14" s="41"/>
      <c r="AQ14" s="41"/>
      <c r="AR14" s="41"/>
      <c r="AS14" s="41"/>
      <c r="AT14" s="41"/>
      <c r="AU14" s="41"/>
      <c r="AV14" s="31">
        <v>2372921</v>
      </c>
      <c r="AW14" s="31">
        <v>1044085</v>
      </c>
      <c r="AX14" s="38">
        <f t="shared" si="0"/>
        <v>2.2727277951507778</v>
      </c>
    </row>
    <row r="15" spans="1:50" ht="15">
      <c r="A15" s="37">
        <v>1921</v>
      </c>
      <c r="B15" s="41">
        <v>243.61</v>
      </c>
      <c r="C15" s="46">
        <v>249.01</v>
      </c>
      <c r="D15" s="41">
        <v>284.18</v>
      </c>
      <c r="E15" s="41">
        <v>240.84</v>
      </c>
      <c r="F15" s="41">
        <v>142.65</v>
      </c>
      <c r="G15" s="41">
        <v>181.62</v>
      </c>
      <c r="H15" s="42">
        <v>182.55</v>
      </c>
      <c r="I15" s="41">
        <v>135.07</v>
      </c>
      <c r="J15" s="41">
        <v>842.99</v>
      </c>
      <c r="K15" s="41">
        <v>308.33</v>
      </c>
      <c r="L15" s="41">
        <v>740.06</v>
      </c>
      <c r="M15" s="41">
        <v>365.52</v>
      </c>
      <c r="N15" s="41">
        <v>397.16</v>
      </c>
      <c r="O15" s="41">
        <v>356.11</v>
      </c>
      <c r="P15" s="41">
        <v>183.85</v>
      </c>
      <c r="Q15" s="41">
        <v>221.98</v>
      </c>
      <c r="R15" s="41">
        <v>75.62</v>
      </c>
      <c r="S15" s="41">
        <v>106.23</v>
      </c>
      <c r="T15" s="41">
        <v>39.49</v>
      </c>
      <c r="U15" s="43">
        <v>79.81</v>
      </c>
      <c r="V15" s="41">
        <v>37.049999999999997</v>
      </c>
      <c r="W15" s="41">
        <v>65.03</v>
      </c>
      <c r="X15" s="41">
        <v>46.41</v>
      </c>
      <c r="Y15" s="41">
        <v>26.4</v>
      </c>
      <c r="Z15" s="41">
        <v>193.01</v>
      </c>
      <c r="AA15" s="41">
        <v>221.33</v>
      </c>
      <c r="AB15" s="41">
        <v>24.11</v>
      </c>
      <c r="AC15" s="41">
        <v>112.07</v>
      </c>
      <c r="AD15" s="41"/>
      <c r="AE15" s="41"/>
      <c r="AF15" s="41"/>
      <c r="AG15" s="41"/>
      <c r="AH15" s="41"/>
      <c r="AI15" s="41"/>
      <c r="AJ15" s="41"/>
      <c r="AK15" s="41"/>
      <c r="AL15" s="41"/>
      <c r="AM15" s="41"/>
      <c r="AN15" s="41"/>
      <c r="AO15" s="41"/>
      <c r="AP15" s="41"/>
      <c r="AQ15" s="41"/>
      <c r="AR15" s="41"/>
      <c r="AS15" s="41"/>
      <c r="AT15" s="41"/>
      <c r="AU15" s="41"/>
      <c r="AV15" s="31">
        <v>1525294</v>
      </c>
      <c r="AW15" s="31">
        <v>671129</v>
      </c>
      <c r="AX15" s="38">
        <f t="shared" si="0"/>
        <v>2.27272849183987</v>
      </c>
    </row>
    <row r="16" spans="1:50" ht="15">
      <c r="A16" s="37">
        <v>1922</v>
      </c>
      <c r="B16" s="41">
        <v>131.22</v>
      </c>
      <c r="C16" s="46">
        <v>130.75</v>
      </c>
      <c r="D16" s="41">
        <v>273.14999999999998</v>
      </c>
      <c r="E16" s="41">
        <v>112.19</v>
      </c>
      <c r="F16" s="41">
        <v>172.07</v>
      </c>
      <c r="G16" s="41">
        <v>70.569999999999993</v>
      </c>
      <c r="H16" s="42">
        <v>181.16</v>
      </c>
      <c r="I16" s="41">
        <v>128.72999999999999</v>
      </c>
      <c r="J16" s="41">
        <v>681.45</v>
      </c>
      <c r="K16" s="41">
        <v>245.09</v>
      </c>
      <c r="L16" s="41">
        <v>740.11</v>
      </c>
      <c r="M16" s="41">
        <v>335.72</v>
      </c>
      <c r="N16" s="41">
        <v>381.31</v>
      </c>
      <c r="O16" s="41">
        <v>369.12</v>
      </c>
      <c r="P16" s="41">
        <v>197.92</v>
      </c>
      <c r="Q16" s="41">
        <v>162.68</v>
      </c>
      <c r="R16" s="41">
        <v>51.99</v>
      </c>
      <c r="S16" s="41">
        <v>86</v>
      </c>
      <c r="T16" s="41">
        <v>34.85</v>
      </c>
      <c r="U16" s="43">
        <v>86.31</v>
      </c>
      <c r="V16" s="41">
        <v>35.4</v>
      </c>
      <c r="W16" s="41">
        <v>41.56</v>
      </c>
      <c r="X16" s="41">
        <v>36.08</v>
      </c>
      <c r="Y16" s="41">
        <v>25.22</v>
      </c>
      <c r="Z16" s="41">
        <v>216.36</v>
      </c>
      <c r="AA16" s="41">
        <v>147.5</v>
      </c>
      <c r="AB16" s="41">
        <v>19.54</v>
      </c>
      <c r="AC16" s="41">
        <v>105.59</v>
      </c>
      <c r="AD16" s="41"/>
      <c r="AE16" s="41"/>
      <c r="AF16" s="41"/>
      <c r="AG16" s="41"/>
      <c r="AH16" s="41"/>
      <c r="AI16" s="41"/>
      <c r="AJ16" s="41"/>
      <c r="AK16" s="41"/>
      <c r="AL16" s="41"/>
      <c r="AM16" s="41"/>
      <c r="AN16" s="41"/>
      <c r="AO16" s="41"/>
      <c r="AP16" s="41"/>
      <c r="AQ16" s="41"/>
      <c r="AR16" s="41"/>
      <c r="AS16" s="41"/>
      <c r="AT16" s="41"/>
      <c r="AU16" s="41"/>
      <c r="AV16" s="31">
        <v>1536382</v>
      </c>
      <c r="AW16" s="31">
        <v>676008</v>
      </c>
      <c r="AX16" s="38">
        <f t="shared" si="0"/>
        <v>2.2727275416858972</v>
      </c>
    </row>
    <row r="17" spans="1:50" ht="15">
      <c r="A17" s="37">
        <v>1923</v>
      </c>
      <c r="B17" s="41">
        <v>171.45</v>
      </c>
      <c r="C17" s="46">
        <v>144.91999999999999</v>
      </c>
      <c r="D17" s="41">
        <v>208.49</v>
      </c>
      <c r="E17" s="41">
        <v>181.29</v>
      </c>
      <c r="F17" s="41">
        <v>179.34</v>
      </c>
      <c r="G17" s="41">
        <v>134.19999999999999</v>
      </c>
      <c r="H17" s="42">
        <v>230.53</v>
      </c>
      <c r="I17" s="41">
        <v>167.03</v>
      </c>
      <c r="J17" s="41">
        <v>834.48</v>
      </c>
      <c r="K17" s="41">
        <v>445.96</v>
      </c>
      <c r="L17" s="41">
        <v>1517.7</v>
      </c>
      <c r="M17" s="41">
        <v>467.2</v>
      </c>
      <c r="N17" s="41">
        <v>461.01</v>
      </c>
      <c r="O17" s="41">
        <v>382.66</v>
      </c>
      <c r="P17" s="41">
        <v>311.41000000000003</v>
      </c>
      <c r="Q17" s="41">
        <v>194.79</v>
      </c>
      <c r="R17" s="41">
        <v>48.92</v>
      </c>
      <c r="S17" s="41">
        <v>71.900000000000006</v>
      </c>
      <c r="T17" s="41">
        <v>36.799999999999997</v>
      </c>
      <c r="U17" s="43">
        <v>88.8</v>
      </c>
      <c r="V17" s="41">
        <v>33.380000000000003</v>
      </c>
      <c r="W17" s="41">
        <v>35.17</v>
      </c>
      <c r="X17" s="41">
        <v>33.51</v>
      </c>
      <c r="Y17" s="41">
        <v>22.33</v>
      </c>
      <c r="Z17" s="41">
        <v>250.63</v>
      </c>
      <c r="AA17" s="41">
        <v>311</v>
      </c>
      <c r="AB17" s="41">
        <v>18.34</v>
      </c>
      <c r="AC17" s="41">
        <v>91.63</v>
      </c>
      <c r="AD17" s="41"/>
      <c r="AE17" s="41"/>
      <c r="AF17" s="41"/>
      <c r="AG17" s="41"/>
      <c r="AH17" s="41"/>
      <c r="AI17" s="41"/>
      <c r="AJ17" s="41"/>
      <c r="AK17" s="41"/>
      <c r="AL17" s="41"/>
      <c r="AM17" s="41"/>
      <c r="AN17" s="41"/>
      <c r="AO17" s="41"/>
      <c r="AP17" s="41"/>
      <c r="AQ17" s="41"/>
      <c r="AR17" s="41"/>
      <c r="AS17" s="41"/>
      <c r="AT17" s="41"/>
      <c r="AU17" s="41"/>
      <c r="AV17" s="31">
        <v>1753094</v>
      </c>
      <c r="AW17" s="31">
        <v>771361</v>
      </c>
      <c r="AX17" s="38">
        <f t="shared" si="0"/>
        <v>2.2727283334262429</v>
      </c>
    </row>
    <row r="18" spans="1:50" ht="15">
      <c r="A18" s="37">
        <v>1924</v>
      </c>
      <c r="B18" s="41">
        <v>169.18</v>
      </c>
      <c r="C18" s="46">
        <v>148.83000000000001</v>
      </c>
      <c r="D18" s="41">
        <v>259.47000000000003</v>
      </c>
      <c r="E18" s="41">
        <v>232.9</v>
      </c>
      <c r="F18" s="41">
        <v>216.5</v>
      </c>
      <c r="G18" s="41">
        <v>128.08000000000001</v>
      </c>
      <c r="H18" s="42">
        <v>217.76</v>
      </c>
      <c r="I18" s="41">
        <v>136.36000000000001</v>
      </c>
      <c r="J18" s="41">
        <v>758.2</v>
      </c>
      <c r="K18" s="41">
        <v>613.52</v>
      </c>
      <c r="L18" s="41">
        <v>1057.99</v>
      </c>
      <c r="M18" s="41">
        <v>754.12</v>
      </c>
      <c r="N18" s="41">
        <v>485.11</v>
      </c>
      <c r="O18" s="41">
        <v>367.24</v>
      </c>
      <c r="P18" s="41">
        <v>507.45</v>
      </c>
      <c r="Q18" s="41">
        <v>302.54000000000002</v>
      </c>
      <c r="R18" s="41">
        <v>47.9</v>
      </c>
      <c r="S18" s="41">
        <v>72.83</v>
      </c>
      <c r="T18" s="41">
        <v>39.409999999999997</v>
      </c>
      <c r="U18" s="43">
        <v>88.94</v>
      </c>
      <c r="V18" s="41">
        <v>32.64</v>
      </c>
      <c r="W18" s="41">
        <v>36.799999999999997</v>
      </c>
      <c r="X18" s="41">
        <v>37.79</v>
      </c>
      <c r="Y18" s="41">
        <v>26.26</v>
      </c>
      <c r="Z18" s="41">
        <v>393.28</v>
      </c>
      <c r="AA18" s="41">
        <v>184.85</v>
      </c>
      <c r="AB18" s="41">
        <v>19.440000000000001</v>
      </c>
      <c r="AC18" s="41">
        <v>77.989999999999995</v>
      </c>
      <c r="AD18" s="41"/>
      <c r="AE18" s="41"/>
      <c r="AF18" s="41"/>
      <c r="AG18" s="41"/>
      <c r="AH18" s="41"/>
      <c r="AI18" s="41"/>
      <c r="AJ18" s="41"/>
      <c r="AK18" s="41"/>
      <c r="AL18" s="41"/>
      <c r="AM18" s="41"/>
      <c r="AN18" s="41"/>
      <c r="AO18" s="41"/>
      <c r="AP18" s="41"/>
      <c r="AQ18" s="41"/>
      <c r="AR18" s="41"/>
      <c r="AS18" s="41"/>
      <c r="AT18" s="41"/>
      <c r="AU18" s="41"/>
      <c r="AV18" s="31">
        <v>2298624</v>
      </c>
      <c r="AW18" s="31">
        <v>1011394</v>
      </c>
      <c r="AX18" s="38">
        <f t="shared" si="0"/>
        <v>2.2727285311164591</v>
      </c>
    </row>
    <row r="19" spans="1:50" ht="15">
      <c r="A19" s="37">
        <v>1925</v>
      </c>
      <c r="B19" s="41">
        <v>187.51</v>
      </c>
      <c r="C19" s="46">
        <v>160.32</v>
      </c>
      <c r="D19" s="41">
        <v>245.41</v>
      </c>
      <c r="E19" s="41">
        <v>232.89</v>
      </c>
      <c r="F19" s="41">
        <v>273</v>
      </c>
      <c r="G19" s="41">
        <v>121.63</v>
      </c>
      <c r="H19" s="42">
        <v>226.59</v>
      </c>
      <c r="I19" s="41">
        <v>173.42</v>
      </c>
      <c r="J19" s="41">
        <v>763.25</v>
      </c>
      <c r="K19" s="41">
        <v>663.6</v>
      </c>
      <c r="L19" s="41">
        <v>1302.6500000000001</v>
      </c>
      <c r="M19" s="41">
        <v>759.3</v>
      </c>
      <c r="N19" s="41">
        <v>548.47</v>
      </c>
      <c r="O19" s="41">
        <v>387.9</v>
      </c>
      <c r="P19" s="41">
        <v>540.5</v>
      </c>
      <c r="Q19" s="41">
        <v>457.33</v>
      </c>
      <c r="R19" s="41">
        <v>64.16</v>
      </c>
      <c r="S19" s="41">
        <v>92.01</v>
      </c>
      <c r="T19" s="41">
        <v>39.56</v>
      </c>
      <c r="U19" s="43">
        <v>90.71</v>
      </c>
      <c r="V19" s="41">
        <v>38.61</v>
      </c>
      <c r="W19" s="41">
        <v>61.74</v>
      </c>
      <c r="X19" s="41">
        <v>49.01</v>
      </c>
      <c r="Y19" s="41">
        <v>28.92</v>
      </c>
      <c r="Z19" s="41">
        <v>336.55</v>
      </c>
      <c r="AA19" s="41">
        <v>121.03</v>
      </c>
      <c r="AB19" s="41">
        <v>20.81</v>
      </c>
      <c r="AC19" s="41">
        <v>84.27</v>
      </c>
      <c r="AD19" s="41"/>
      <c r="AE19" s="41"/>
      <c r="AF19" s="41"/>
      <c r="AG19" s="41"/>
      <c r="AH19" s="41"/>
      <c r="AI19" s="41"/>
      <c r="AJ19" s="41"/>
      <c r="AK19" s="41"/>
      <c r="AL19" s="41"/>
      <c r="AM19" s="41"/>
      <c r="AN19" s="41"/>
      <c r="AO19" s="41"/>
      <c r="AP19" s="41"/>
      <c r="AQ19" s="41"/>
      <c r="AR19" s="41"/>
      <c r="AS19" s="41"/>
      <c r="AT19" s="41"/>
      <c r="AU19" s="41"/>
      <c r="AV19" s="31">
        <v>1972568</v>
      </c>
      <c r="AW19" s="31">
        <v>867930</v>
      </c>
      <c r="AX19" s="38">
        <f t="shared" si="0"/>
        <v>2.2727270632424275</v>
      </c>
    </row>
    <row r="20" spans="1:50" ht="15">
      <c r="A20" s="37">
        <v>1926</v>
      </c>
      <c r="B20" s="41">
        <v>165.84</v>
      </c>
      <c r="C20" s="46">
        <v>151.41</v>
      </c>
      <c r="D20" s="41">
        <v>245.11</v>
      </c>
      <c r="E20" s="41">
        <v>152.85</v>
      </c>
      <c r="F20" s="41">
        <v>209.12</v>
      </c>
      <c r="G20" s="41">
        <v>136.30000000000001</v>
      </c>
      <c r="H20" s="42">
        <v>187</v>
      </c>
      <c r="I20" s="41">
        <v>181.14</v>
      </c>
      <c r="J20" s="41">
        <v>667.17</v>
      </c>
      <c r="K20" s="41">
        <v>505.55</v>
      </c>
      <c r="L20" s="41">
        <v>841.54</v>
      </c>
      <c r="M20" s="41">
        <v>571.82000000000005</v>
      </c>
      <c r="N20" s="41">
        <v>517.47</v>
      </c>
      <c r="O20" s="41">
        <v>339.13</v>
      </c>
      <c r="P20" s="41">
        <v>425.73</v>
      </c>
      <c r="Q20" s="41">
        <v>449.53</v>
      </c>
      <c r="R20" s="41">
        <v>57.84</v>
      </c>
      <c r="S20" s="41">
        <v>85.07</v>
      </c>
      <c r="T20" s="41">
        <v>25.86</v>
      </c>
      <c r="U20" s="43">
        <v>66.790000000000006</v>
      </c>
      <c r="V20" s="41">
        <v>29.33</v>
      </c>
      <c r="W20" s="41">
        <v>37.1</v>
      </c>
      <c r="X20" s="41">
        <v>31.91</v>
      </c>
      <c r="Y20" s="41">
        <v>19.72</v>
      </c>
      <c r="Z20" s="41">
        <v>296.32</v>
      </c>
      <c r="AA20" s="41">
        <v>142.61000000000001</v>
      </c>
      <c r="AB20" s="41">
        <v>18.850000000000001</v>
      </c>
      <c r="AC20" s="41">
        <v>83.84</v>
      </c>
      <c r="AD20" s="41"/>
      <c r="AE20" s="41"/>
      <c r="AF20" s="41"/>
      <c r="AG20" s="41"/>
      <c r="AH20" s="41"/>
      <c r="AI20" s="41"/>
      <c r="AJ20" s="41"/>
      <c r="AK20" s="41"/>
      <c r="AL20" s="41"/>
      <c r="AM20" s="41"/>
      <c r="AN20" s="41"/>
      <c r="AO20" s="41"/>
      <c r="AP20" s="41"/>
      <c r="AQ20" s="41"/>
      <c r="AR20" s="41"/>
      <c r="AS20" s="41"/>
      <c r="AT20" s="41"/>
      <c r="AU20" s="41"/>
      <c r="AV20" s="31">
        <v>1800406</v>
      </c>
      <c r="AW20" s="31">
        <v>792178</v>
      </c>
      <c r="AX20" s="38">
        <f t="shared" si="0"/>
        <v>2.2727291088618973</v>
      </c>
    </row>
    <row r="21" spans="1:50" ht="15">
      <c r="A21" s="37">
        <v>1927</v>
      </c>
      <c r="B21" s="41">
        <v>145.49</v>
      </c>
      <c r="C21" s="46">
        <v>130.91</v>
      </c>
      <c r="D21" s="41">
        <v>237.89</v>
      </c>
      <c r="E21" s="41">
        <v>153.29</v>
      </c>
      <c r="F21" s="41">
        <v>260.93</v>
      </c>
      <c r="G21" s="41">
        <v>123.44</v>
      </c>
      <c r="H21" s="42">
        <v>146.76</v>
      </c>
      <c r="I21" s="41">
        <v>185.21</v>
      </c>
      <c r="J21" s="41">
        <v>654</v>
      </c>
      <c r="K21" s="41">
        <v>509.75</v>
      </c>
      <c r="L21" s="41">
        <v>1010.25</v>
      </c>
      <c r="M21" s="41">
        <v>525.04999999999995</v>
      </c>
      <c r="N21" s="41">
        <v>612.37</v>
      </c>
      <c r="O21" s="41">
        <v>427.26</v>
      </c>
      <c r="P21" s="41">
        <v>411.94</v>
      </c>
      <c r="Q21" s="41">
        <v>387.54</v>
      </c>
      <c r="R21" s="41">
        <v>47.38</v>
      </c>
      <c r="S21" s="41">
        <v>72.61</v>
      </c>
      <c r="T21" s="41">
        <v>27.13</v>
      </c>
      <c r="U21" s="44">
        <v>62.9</v>
      </c>
      <c r="V21" s="41">
        <v>30.13</v>
      </c>
      <c r="W21" s="41">
        <v>40.700000000000003</v>
      </c>
      <c r="X21" s="41">
        <v>36.4</v>
      </c>
      <c r="Y21" s="41">
        <v>23.43</v>
      </c>
      <c r="Z21" s="41">
        <v>269.81</v>
      </c>
      <c r="AA21" s="41">
        <v>61.49</v>
      </c>
      <c r="AB21" s="41">
        <v>19.91</v>
      </c>
      <c r="AC21" s="41">
        <v>96.7</v>
      </c>
      <c r="AD21" s="41"/>
      <c r="AE21" s="41"/>
      <c r="AF21" s="41"/>
      <c r="AG21" s="41"/>
      <c r="AH21" s="41"/>
      <c r="AI21" s="41"/>
      <c r="AJ21" s="41"/>
      <c r="AK21" s="41"/>
      <c r="AL21" s="41"/>
      <c r="AM21" s="41"/>
      <c r="AN21" s="41"/>
      <c r="AO21" s="41"/>
      <c r="AP21" s="41"/>
      <c r="AQ21" s="41"/>
      <c r="AR21" s="41"/>
      <c r="AS21" s="41"/>
      <c r="AT21" s="41"/>
      <c r="AU21" s="41"/>
      <c r="AV21" s="31">
        <v>2293921</v>
      </c>
      <c r="AW21" s="31">
        <v>1009825</v>
      </c>
      <c r="AX21" s="38">
        <f t="shared" si="0"/>
        <v>2.2716025053845965</v>
      </c>
    </row>
    <row r="22" spans="1:50" ht="15">
      <c r="A22" s="37">
        <v>1928</v>
      </c>
      <c r="B22" s="41">
        <v>185.67</v>
      </c>
      <c r="C22" s="46">
        <v>161.51</v>
      </c>
      <c r="D22" s="41">
        <v>227.62</v>
      </c>
      <c r="E22" s="41">
        <v>187.68</v>
      </c>
      <c r="F22" s="41">
        <v>225.58</v>
      </c>
      <c r="G22" s="41">
        <v>171.4</v>
      </c>
      <c r="H22" s="42">
        <v>166.78</v>
      </c>
      <c r="I22" s="41">
        <v>162.46</v>
      </c>
      <c r="J22" s="41">
        <v>667.36</v>
      </c>
      <c r="K22" s="41">
        <v>635.79999999999995</v>
      </c>
      <c r="L22" s="41">
        <v>1017.46</v>
      </c>
      <c r="M22" s="41">
        <v>558.29</v>
      </c>
      <c r="N22" s="41">
        <v>745.76</v>
      </c>
      <c r="O22" s="41">
        <v>463.01</v>
      </c>
      <c r="P22" s="41">
        <v>465.86</v>
      </c>
      <c r="Q22" s="41">
        <v>397.54</v>
      </c>
      <c r="R22" s="41">
        <v>47.33</v>
      </c>
      <c r="S22" s="41">
        <v>64.52</v>
      </c>
      <c r="T22" s="41">
        <v>35.700000000000003</v>
      </c>
      <c r="U22" s="41">
        <v>67.16</v>
      </c>
      <c r="V22" s="41">
        <v>40.39</v>
      </c>
      <c r="W22" s="41">
        <v>44.23</v>
      </c>
      <c r="X22" s="41">
        <v>41.92</v>
      </c>
      <c r="Y22" s="41">
        <v>27.33</v>
      </c>
      <c r="Z22" s="41">
        <v>282.98</v>
      </c>
      <c r="AA22" s="41">
        <v>145.19999999999999</v>
      </c>
      <c r="AB22" s="41">
        <v>21.71</v>
      </c>
      <c r="AC22" s="41">
        <v>99.09</v>
      </c>
      <c r="AD22" s="41"/>
      <c r="AE22" s="41"/>
      <c r="AF22" s="41"/>
      <c r="AG22" s="41"/>
      <c r="AH22" s="41"/>
      <c r="AI22" s="41"/>
      <c r="AJ22" s="41"/>
      <c r="AK22" s="41"/>
      <c r="AL22" s="41"/>
      <c r="AM22" s="41"/>
      <c r="AN22" s="41"/>
      <c r="AO22" s="41"/>
      <c r="AP22" s="41"/>
      <c r="AQ22" s="41"/>
      <c r="AR22" s="41"/>
      <c r="AS22" s="41"/>
      <c r="AT22" s="41"/>
      <c r="AU22" s="41"/>
      <c r="AV22" s="31">
        <v>2396608</v>
      </c>
      <c r="AW22" s="31">
        <v>1054508</v>
      </c>
      <c r="AX22" s="38">
        <f t="shared" si="0"/>
        <v>2.2727262382077709</v>
      </c>
    </row>
    <row r="23" spans="1:50" ht="15">
      <c r="A23" s="37">
        <v>1929</v>
      </c>
      <c r="B23" s="41">
        <v>195.88</v>
      </c>
      <c r="C23" s="46">
        <v>173.23</v>
      </c>
      <c r="D23" s="41">
        <v>238.77</v>
      </c>
      <c r="E23" s="41">
        <v>174.92</v>
      </c>
      <c r="F23" s="41">
        <v>228.29</v>
      </c>
      <c r="G23" s="41">
        <v>133.25</v>
      </c>
      <c r="H23" s="42">
        <v>168.1</v>
      </c>
      <c r="I23" s="41">
        <v>220</v>
      </c>
      <c r="J23" s="41">
        <v>680.55</v>
      </c>
      <c r="K23" s="41">
        <v>529.91999999999996</v>
      </c>
      <c r="L23" s="41">
        <v>1003</v>
      </c>
      <c r="M23" s="41">
        <v>538.53</v>
      </c>
      <c r="N23" s="41">
        <v>471.93</v>
      </c>
      <c r="O23" s="41">
        <v>304.95</v>
      </c>
      <c r="P23" s="41">
        <v>372.61</v>
      </c>
      <c r="Q23" s="41">
        <v>414.38</v>
      </c>
      <c r="R23" s="41">
        <v>42.03</v>
      </c>
      <c r="S23" s="41">
        <v>57.01</v>
      </c>
      <c r="T23" s="41">
        <v>33.29</v>
      </c>
      <c r="U23" s="41">
        <v>74.28</v>
      </c>
      <c r="V23" s="41">
        <v>32.18</v>
      </c>
      <c r="W23" s="41">
        <v>38.229999999999997</v>
      </c>
      <c r="X23" s="41">
        <v>33.49</v>
      </c>
      <c r="Y23" s="41">
        <v>24.69</v>
      </c>
      <c r="Z23" s="41">
        <v>304.64</v>
      </c>
      <c r="AA23" s="41">
        <v>145.21</v>
      </c>
      <c r="AB23" s="41">
        <v>23.97</v>
      </c>
      <c r="AC23" s="41">
        <v>92</v>
      </c>
      <c r="AD23" s="41"/>
      <c r="AE23" s="41"/>
      <c r="AF23" s="41"/>
      <c r="AG23" s="41"/>
      <c r="AH23" s="41"/>
      <c r="AI23" s="41"/>
      <c r="AJ23" s="41"/>
      <c r="AK23" s="41"/>
      <c r="AL23" s="41"/>
      <c r="AM23" s="41"/>
      <c r="AN23" s="41"/>
      <c r="AO23" s="41"/>
      <c r="AP23" s="41"/>
      <c r="AQ23" s="41"/>
      <c r="AR23" s="41"/>
      <c r="AS23" s="41"/>
      <c r="AT23" s="41"/>
      <c r="AU23" s="41"/>
      <c r="AV23" s="31">
        <v>2167600</v>
      </c>
      <c r="AW23" s="31">
        <v>953744</v>
      </c>
      <c r="AX23" s="38">
        <f t="shared" si="0"/>
        <v>2.2727272727272729</v>
      </c>
    </row>
    <row r="24" spans="1:50" ht="15">
      <c r="A24" s="37">
        <v>1930</v>
      </c>
      <c r="B24" s="41">
        <v>205.24</v>
      </c>
      <c r="C24" s="46">
        <v>179.37</v>
      </c>
      <c r="D24" s="41">
        <v>266.76</v>
      </c>
      <c r="E24" s="41">
        <v>179.28</v>
      </c>
      <c r="F24" s="41">
        <v>242.64</v>
      </c>
      <c r="G24" s="41">
        <v>145.75</v>
      </c>
      <c r="H24" s="42">
        <v>146.1</v>
      </c>
      <c r="I24" s="41">
        <v>220</v>
      </c>
      <c r="J24" s="41">
        <v>576.08000000000004</v>
      </c>
      <c r="K24" s="41">
        <v>323.43</v>
      </c>
      <c r="L24" s="41">
        <v>993.81</v>
      </c>
      <c r="M24" s="41">
        <v>479.9</v>
      </c>
      <c r="N24" s="41">
        <v>345.26</v>
      </c>
      <c r="O24" s="41">
        <v>268.47000000000003</v>
      </c>
      <c r="P24" s="41">
        <v>271.92</v>
      </c>
      <c r="Q24" s="41">
        <v>378.95</v>
      </c>
      <c r="R24" s="41">
        <v>41.48</v>
      </c>
      <c r="S24" s="41">
        <v>57.76</v>
      </c>
      <c r="T24" s="41">
        <v>22.92</v>
      </c>
      <c r="U24" s="41">
        <v>75.2</v>
      </c>
      <c r="V24" s="41">
        <v>17.68</v>
      </c>
      <c r="W24" s="41">
        <v>17.84</v>
      </c>
      <c r="X24" s="41">
        <v>18.03</v>
      </c>
      <c r="Y24" s="41">
        <v>16.53</v>
      </c>
      <c r="Z24" s="41">
        <v>312.06</v>
      </c>
      <c r="AA24" s="41">
        <v>145.13</v>
      </c>
      <c r="AB24" s="41">
        <v>22.84</v>
      </c>
      <c r="AC24" s="41">
        <v>95.86</v>
      </c>
      <c r="AD24" s="41"/>
      <c r="AE24" s="41"/>
      <c r="AF24" s="41"/>
      <c r="AG24" s="41"/>
      <c r="AH24" s="41"/>
      <c r="AI24" s="41"/>
      <c r="AJ24" s="41"/>
      <c r="AK24" s="41"/>
      <c r="AL24" s="41"/>
      <c r="AM24" s="41"/>
      <c r="AN24" s="41"/>
      <c r="AO24" s="41"/>
      <c r="AP24" s="41"/>
      <c r="AQ24" s="41"/>
      <c r="AR24" s="41"/>
      <c r="AS24" s="41"/>
      <c r="AT24" s="41"/>
      <c r="AU24" s="41"/>
      <c r="AV24" s="31">
        <v>1395691</v>
      </c>
      <c r="AW24" s="31">
        <v>614104</v>
      </c>
      <c r="AX24" s="38">
        <f t="shared" si="0"/>
        <v>2.2727274207626071</v>
      </c>
    </row>
    <row r="25" spans="1:50" ht="15">
      <c r="A25" s="37">
        <v>1931</v>
      </c>
      <c r="B25" s="41">
        <v>191.74</v>
      </c>
      <c r="C25" s="46">
        <v>166.1</v>
      </c>
      <c r="D25" s="41">
        <v>245.93</v>
      </c>
      <c r="E25" s="41">
        <v>166.89</v>
      </c>
      <c r="F25" s="41">
        <v>250.5</v>
      </c>
      <c r="G25" s="41">
        <v>134.99</v>
      </c>
      <c r="H25" s="42">
        <v>109.16</v>
      </c>
      <c r="I25" s="41">
        <v>57.89</v>
      </c>
      <c r="J25" s="41">
        <v>571.75</v>
      </c>
      <c r="K25" s="41">
        <v>259.89</v>
      </c>
      <c r="L25" s="41">
        <v>810.68</v>
      </c>
      <c r="M25" s="41">
        <v>395.38</v>
      </c>
      <c r="N25" s="41">
        <v>290.24</v>
      </c>
      <c r="O25" s="41">
        <v>252.67</v>
      </c>
      <c r="P25" s="41">
        <v>246.71</v>
      </c>
      <c r="Q25" s="41">
        <v>305.76</v>
      </c>
      <c r="R25" s="41">
        <v>25.23</v>
      </c>
      <c r="S25" s="41">
        <v>42.08</v>
      </c>
      <c r="T25" s="41">
        <v>17.32</v>
      </c>
      <c r="U25" s="41">
        <v>47.7</v>
      </c>
      <c r="V25" s="41">
        <v>17.64</v>
      </c>
      <c r="W25" s="41">
        <v>19.25</v>
      </c>
      <c r="X25" s="41">
        <v>18.77</v>
      </c>
      <c r="Y25" s="41">
        <v>16.54</v>
      </c>
      <c r="Z25" s="41">
        <v>467.8</v>
      </c>
      <c r="AA25" s="41">
        <v>170.78</v>
      </c>
      <c r="AB25" s="41">
        <v>21.38</v>
      </c>
      <c r="AC25" s="41">
        <v>80.91</v>
      </c>
      <c r="AD25" s="41"/>
      <c r="AE25" s="41"/>
      <c r="AF25" s="41"/>
      <c r="AG25" s="41"/>
      <c r="AH25" s="41"/>
      <c r="AI25" s="41"/>
      <c r="AJ25" s="41"/>
      <c r="AK25" s="41"/>
      <c r="AL25" s="41"/>
      <c r="AM25" s="41"/>
      <c r="AN25" s="41"/>
      <c r="AO25" s="41"/>
      <c r="AP25" s="41"/>
      <c r="AQ25" s="41"/>
      <c r="AR25" s="41"/>
      <c r="AS25" s="41"/>
      <c r="AT25" s="41"/>
      <c r="AU25" s="41"/>
      <c r="AV25" s="31">
        <v>1455815</v>
      </c>
      <c r="AW25" s="31">
        <v>640558</v>
      </c>
      <c r="AX25" s="38">
        <f t="shared" si="0"/>
        <v>2.2727294015530211</v>
      </c>
    </row>
    <row r="26" spans="1:50" ht="15">
      <c r="A26" s="37">
        <v>1932</v>
      </c>
      <c r="B26" s="41">
        <v>149.16999999999999</v>
      </c>
      <c r="C26" s="46">
        <v>135.85</v>
      </c>
      <c r="D26" s="41">
        <v>106.04</v>
      </c>
      <c r="E26" s="41">
        <v>143.91999999999999</v>
      </c>
      <c r="F26" s="41">
        <v>244.7</v>
      </c>
      <c r="G26" s="41">
        <v>126.93</v>
      </c>
      <c r="H26" s="42">
        <v>102.32</v>
      </c>
      <c r="I26" s="41">
        <v>42.07</v>
      </c>
      <c r="J26" s="41">
        <v>468.99</v>
      </c>
      <c r="K26" s="41">
        <v>238.78</v>
      </c>
      <c r="L26" s="41">
        <v>476.46</v>
      </c>
      <c r="M26" s="41">
        <v>380.91</v>
      </c>
      <c r="N26" s="41">
        <v>244.07</v>
      </c>
      <c r="O26" s="41">
        <v>200.56</v>
      </c>
      <c r="P26" s="41">
        <v>163.9</v>
      </c>
      <c r="Q26" s="41">
        <v>206.49</v>
      </c>
      <c r="R26" s="41">
        <v>28.9</v>
      </c>
      <c r="S26" s="41">
        <v>44.48</v>
      </c>
      <c r="T26" s="41">
        <v>20</v>
      </c>
      <c r="U26" s="41">
        <v>40.53</v>
      </c>
      <c r="V26" s="41">
        <v>22.44</v>
      </c>
      <c r="W26" s="41">
        <v>28.26</v>
      </c>
      <c r="X26" s="41">
        <v>28.11</v>
      </c>
      <c r="Y26" s="41">
        <v>19.48</v>
      </c>
      <c r="Z26" s="41">
        <v>214.15</v>
      </c>
      <c r="AA26" s="41">
        <v>163.08000000000001</v>
      </c>
      <c r="AB26" s="41">
        <v>17.55</v>
      </c>
      <c r="AC26" s="41">
        <v>58.83</v>
      </c>
      <c r="AD26" s="41"/>
      <c r="AE26" s="41"/>
      <c r="AF26" s="41"/>
      <c r="AG26" s="41"/>
      <c r="AH26" s="41"/>
      <c r="AI26" s="41"/>
      <c r="AJ26" s="41"/>
      <c r="AK26" s="41"/>
      <c r="AL26" s="41"/>
      <c r="AM26" s="41"/>
      <c r="AN26" s="41"/>
      <c r="AO26" s="41"/>
      <c r="AP26" s="41"/>
      <c r="AQ26" s="41"/>
      <c r="AR26" s="41"/>
      <c r="AS26" s="41"/>
      <c r="AT26" s="41"/>
      <c r="AU26" s="41"/>
      <c r="AV26" s="31">
        <v>1287782</v>
      </c>
      <c r="AW26" s="31">
        <v>566624</v>
      </c>
      <c r="AX26" s="38">
        <f t="shared" si="0"/>
        <v>2.2727275936070481</v>
      </c>
    </row>
    <row r="27" spans="1:50" ht="15">
      <c r="A27" s="37">
        <v>1933</v>
      </c>
      <c r="B27" s="41">
        <v>145.69999999999999</v>
      </c>
      <c r="C27" s="46">
        <v>105.67</v>
      </c>
      <c r="D27" s="41">
        <v>104.58</v>
      </c>
      <c r="E27" s="41">
        <v>136.31</v>
      </c>
      <c r="F27" s="41">
        <v>270.7</v>
      </c>
      <c r="G27" s="41">
        <v>126.58</v>
      </c>
      <c r="H27" s="42">
        <v>94.97</v>
      </c>
      <c r="I27" s="41">
        <v>149.19</v>
      </c>
      <c r="J27" s="41">
        <v>385.06</v>
      </c>
      <c r="K27" s="41">
        <v>250.83</v>
      </c>
      <c r="L27" s="41">
        <v>437.29</v>
      </c>
      <c r="M27" s="41">
        <v>257.57</v>
      </c>
      <c r="N27" s="41">
        <v>267.22000000000003</v>
      </c>
      <c r="O27" s="41">
        <v>213.34</v>
      </c>
      <c r="P27" s="41">
        <v>228.43</v>
      </c>
      <c r="Q27" s="41">
        <v>100.32</v>
      </c>
      <c r="R27" s="41">
        <v>24.24</v>
      </c>
      <c r="S27" s="41">
        <v>42.09</v>
      </c>
      <c r="T27" s="41">
        <v>17.28</v>
      </c>
      <c r="U27" s="41">
        <v>45.3</v>
      </c>
      <c r="V27" s="41">
        <v>17.41</v>
      </c>
      <c r="W27" s="41">
        <v>17.78</v>
      </c>
      <c r="X27" s="41">
        <v>18.350000000000001</v>
      </c>
      <c r="Y27" s="41">
        <v>14.65</v>
      </c>
      <c r="Z27" s="41">
        <v>235.63</v>
      </c>
      <c r="AA27" s="41">
        <v>166.48</v>
      </c>
      <c r="AB27" s="41">
        <v>18.43</v>
      </c>
      <c r="AC27" s="41">
        <v>59.52</v>
      </c>
      <c r="AD27" s="41"/>
      <c r="AE27" s="41"/>
      <c r="AF27" s="41"/>
      <c r="AG27" s="41"/>
      <c r="AH27" s="41"/>
      <c r="AI27" s="41"/>
      <c r="AJ27" s="41"/>
      <c r="AK27" s="41"/>
      <c r="AL27" s="41"/>
      <c r="AM27" s="41"/>
      <c r="AN27" s="41"/>
      <c r="AO27" s="41"/>
      <c r="AP27" s="41"/>
      <c r="AQ27" s="41"/>
      <c r="AR27" s="41"/>
      <c r="AS27" s="41"/>
      <c r="AT27" s="41"/>
      <c r="AU27" s="41"/>
      <c r="AV27" s="31">
        <v>1120841</v>
      </c>
      <c r="AW27" s="31">
        <v>493170</v>
      </c>
      <c r="AX27" s="38">
        <f t="shared" si="0"/>
        <v>2.2727274570634872</v>
      </c>
    </row>
    <row r="28" spans="1:50" ht="15">
      <c r="A28" s="37">
        <v>1934</v>
      </c>
      <c r="B28" s="41">
        <v>159.97999999999999</v>
      </c>
      <c r="C28" s="46">
        <v>104</v>
      </c>
      <c r="D28" s="41">
        <v>118.8</v>
      </c>
      <c r="E28" s="41">
        <v>175.53</v>
      </c>
      <c r="F28" s="41">
        <v>257.17</v>
      </c>
      <c r="G28" s="41">
        <v>120.42</v>
      </c>
      <c r="H28" s="42">
        <v>106.3</v>
      </c>
      <c r="I28" s="41">
        <v>191.08</v>
      </c>
      <c r="J28" s="41">
        <v>368.66</v>
      </c>
      <c r="K28" s="41">
        <v>475.39</v>
      </c>
      <c r="L28" s="41">
        <v>571.13</v>
      </c>
      <c r="M28" s="41">
        <v>275.74</v>
      </c>
      <c r="N28" s="41">
        <v>295.75</v>
      </c>
      <c r="O28" s="41">
        <v>224.54</v>
      </c>
      <c r="P28" s="41">
        <v>338.19</v>
      </c>
      <c r="Q28" s="41">
        <v>100.54</v>
      </c>
      <c r="R28" s="41">
        <v>27.1</v>
      </c>
      <c r="S28" s="41">
        <v>41.72</v>
      </c>
      <c r="T28" s="41">
        <v>24.26</v>
      </c>
      <c r="U28" s="41">
        <v>54.57</v>
      </c>
      <c r="V28" s="41">
        <v>20.34</v>
      </c>
      <c r="W28" s="41">
        <v>23.11</v>
      </c>
      <c r="X28" s="41">
        <v>21.03</v>
      </c>
      <c r="Y28" s="41">
        <v>20.43</v>
      </c>
      <c r="Z28" s="41">
        <v>331.35</v>
      </c>
      <c r="AA28" s="41">
        <v>167.6</v>
      </c>
      <c r="AB28" s="41">
        <v>18.850000000000001</v>
      </c>
      <c r="AC28" s="41">
        <v>69.56</v>
      </c>
      <c r="AD28" s="41"/>
      <c r="AE28" s="41"/>
      <c r="AF28" s="41"/>
      <c r="AG28" s="41"/>
      <c r="AH28" s="41"/>
      <c r="AI28" s="41"/>
      <c r="AJ28" s="41"/>
      <c r="AK28" s="41"/>
      <c r="AL28" s="41"/>
      <c r="AM28" s="41"/>
      <c r="AN28" s="41"/>
      <c r="AO28" s="41"/>
      <c r="AP28" s="41"/>
      <c r="AQ28" s="41"/>
      <c r="AR28" s="41"/>
      <c r="AS28" s="41"/>
      <c r="AT28" s="41"/>
      <c r="AU28" s="41"/>
      <c r="AV28" s="31">
        <v>1438434</v>
      </c>
      <c r="AW28" s="31">
        <v>632911</v>
      </c>
      <c r="AX28" s="38">
        <f t="shared" si="0"/>
        <v>2.27272712909082</v>
      </c>
    </row>
    <row r="29" spans="1:50" ht="15">
      <c r="A29" s="37">
        <v>1935</v>
      </c>
      <c r="B29" s="41">
        <v>203.46</v>
      </c>
      <c r="C29" s="46">
        <v>106.7</v>
      </c>
      <c r="D29" s="41">
        <v>132.03</v>
      </c>
      <c r="E29" s="41">
        <v>277.83999999999997</v>
      </c>
      <c r="F29" s="41">
        <v>298.43</v>
      </c>
      <c r="G29" s="41">
        <v>115.33</v>
      </c>
      <c r="H29" s="42">
        <v>148.13999999999999</v>
      </c>
      <c r="I29" s="41">
        <v>185.52</v>
      </c>
      <c r="J29" s="41">
        <v>473.48</v>
      </c>
      <c r="K29" s="41">
        <v>351.69</v>
      </c>
      <c r="L29" s="41">
        <v>531.32000000000005</v>
      </c>
      <c r="M29" s="41">
        <v>329.12</v>
      </c>
      <c r="N29" s="41">
        <v>316.22000000000003</v>
      </c>
      <c r="O29" s="41">
        <v>248.48</v>
      </c>
      <c r="P29" s="41">
        <v>298.48</v>
      </c>
      <c r="Q29" s="41">
        <v>112.63</v>
      </c>
      <c r="R29" s="41">
        <v>31.21</v>
      </c>
      <c r="S29" s="41">
        <v>44.9</v>
      </c>
      <c r="T29" s="41">
        <v>20.07</v>
      </c>
      <c r="U29" s="41">
        <v>53.44</v>
      </c>
      <c r="V29" s="41">
        <v>23.93</v>
      </c>
      <c r="W29" s="41">
        <v>21.92</v>
      </c>
      <c r="X29" s="41">
        <v>24.69</v>
      </c>
      <c r="Y29" s="41">
        <v>20.93</v>
      </c>
      <c r="Z29" s="41">
        <v>332.82</v>
      </c>
      <c r="AA29" s="41">
        <v>175.88</v>
      </c>
      <c r="AB29" s="41">
        <v>20.170000000000002</v>
      </c>
      <c r="AC29" s="41">
        <v>95</v>
      </c>
      <c r="AD29" s="41"/>
      <c r="AE29" s="41"/>
      <c r="AF29" s="41"/>
      <c r="AG29" s="41"/>
      <c r="AH29" s="41"/>
      <c r="AI29" s="41"/>
      <c r="AJ29" s="41"/>
      <c r="AK29" s="41"/>
      <c r="AL29" s="41"/>
      <c r="AM29" s="41"/>
      <c r="AN29" s="41"/>
      <c r="AO29" s="41"/>
      <c r="AP29" s="41"/>
      <c r="AQ29" s="41"/>
      <c r="AR29" s="41"/>
      <c r="AS29" s="41"/>
      <c r="AT29" s="41"/>
      <c r="AU29" s="41"/>
      <c r="AV29" s="31">
        <v>1569349</v>
      </c>
      <c r="AW29" s="31">
        <v>690512</v>
      </c>
      <c r="AX29" s="38">
        <f t="shared" si="0"/>
        <v>2.2727324072572235</v>
      </c>
    </row>
    <row r="30" spans="1:50" ht="15">
      <c r="A30" s="37">
        <v>1936</v>
      </c>
      <c r="B30" s="41">
        <v>208.58</v>
      </c>
      <c r="C30" s="46">
        <v>103.94</v>
      </c>
      <c r="D30" s="41">
        <v>133.6</v>
      </c>
      <c r="E30" s="41">
        <v>301.06</v>
      </c>
      <c r="F30" s="41">
        <v>296.18</v>
      </c>
      <c r="G30" s="41">
        <v>99.58</v>
      </c>
      <c r="H30" s="42">
        <v>159.13999999999999</v>
      </c>
      <c r="I30" s="41">
        <v>243.42</v>
      </c>
      <c r="J30" s="41">
        <v>477.36</v>
      </c>
      <c r="K30" s="41">
        <v>465.26</v>
      </c>
      <c r="L30" s="41">
        <v>682.08</v>
      </c>
      <c r="M30" s="41">
        <v>328.14</v>
      </c>
      <c r="N30" s="41">
        <v>342.99</v>
      </c>
      <c r="O30" s="41">
        <v>280.61</v>
      </c>
      <c r="P30" s="41">
        <v>425.66</v>
      </c>
      <c r="Q30" s="41">
        <v>223.46</v>
      </c>
      <c r="R30" s="41">
        <v>41.65</v>
      </c>
      <c r="S30" s="41">
        <v>64.03</v>
      </c>
      <c r="T30" s="41">
        <v>23.37</v>
      </c>
      <c r="U30" s="41">
        <v>62.48</v>
      </c>
      <c r="V30" s="41">
        <v>24.85</v>
      </c>
      <c r="W30" s="41">
        <v>25.83</v>
      </c>
      <c r="X30" s="41">
        <v>26.14</v>
      </c>
      <c r="Y30" s="41">
        <v>22.78</v>
      </c>
      <c r="Z30" s="41">
        <v>347.88</v>
      </c>
      <c r="AA30" s="41">
        <v>166.35</v>
      </c>
      <c r="AB30" s="41">
        <v>20.67</v>
      </c>
      <c r="AC30" s="41">
        <v>84.96</v>
      </c>
      <c r="AD30" s="41"/>
      <c r="AE30" s="41"/>
      <c r="AF30" s="41"/>
      <c r="AG30" s="41"/>
      <c r="AH30" s="41"/>
      <c r="AI30" s="41"/>
      <c r="AJ30" s="41"/>
      <c r="AK30" s="41"/>
      <c r="AL30" s="41"/>
      <c r="AM30" s="41"/>
      <c r="AN30" s="41"/>
      <c r="AO30" s="41"/>
      <c r="AP30" s="41"/>
      <c r="AQ30" s="41"/>
      <c r="AR30" s="41"/>
      <c r="AS30" s="41"/>
      <c r="AT30" s="41"/>
      <c r="AU30" s="41"/>
      <c r="AV30" s="31">
        <v>1655712</v>
      </c>
      <c r="AW30" s="31">
        <v>728513</v>
      </c>
      <c r="AX30" s="38">
        <f t="shared" si="0"/>
        <v>2.2727281462376099</v>
      </c>
    </row>
    <row r="31" spans="1:50" ht="15">
      <c r="A31" s="37">
        <v>1937</v>
      </c>
      <c r="B31" s="41">
        <v>214.56</v>
      </c>
      <c r="C31" s="46">
        <v>137.01</v>
      </c>
      <c r="D31" s="41">
        <v>196.35</v>
      </c>
      <c r="E31" s="41">
        <v>307.37</v>
      </c>
      <c r="F31" s="41">
        <v>225.87</v>
      </c>
      <c r="G31" s="41">
        <v>156.94</v>
      </c>
      <c r="H31" s="42">
        <v>143.37</v>
      </c>
      <c r="I31" s="41">
        <v>265.68</v>
      </c>
      <c r="J31" s="41">
        <v>468.57</v>
      </c>
      <c r="K31" s="41">
        <v>616.55999999999995</v>
      </c>
      <c r="L31" s="41">
        <v>956.23</v>
      </c>
      <c r="M31" s="41">
        <v>580.80999999999995</v>
      </c>
      <c r="N31" s="41">
        <v>487.4</v>
      </c>
      <c r="O31" s="41">
        <v>381</v>
      </c>
      <c r="P31" s="41">
        <v>492.87</v>
      </c>
      <c r="Q31" s="41">
        <v>289.72000000000003</v>
      </c>
      <c r="R31" s="41">
        <v>53.83</v>
      </c>
      <c r="S31" s="41">
        <v>76.760000000000005</v>
      </c>
      <c r="T31" s="41">
        <v>28.98</v>
      </c>
      <c r="U31" s="41">
        <v>67.209999999999994</v>
      </c>
      <c r="V31" s="41">
        <v>26.89</v>
      </c>
      <c r="W31" s="41">
        <v>52.51</v>
      </c>
      <c r="X31" s="41">
        <v>36.72</v>
      </c>
      <c r="Y31" s="41">
        <v>17.510000000000002</v>
      </c>
      <c r="Z31" s="41"/>
      <c r="AA31" s="41">
        <v>157.46</v>
      </c>
      <c r="AB31" s="41">
        <v>19.66</v>
      </c>
      <c r="AC31" s="41">
        <v>89.04</v>
      </c>
      <c r="AD31" s="41"/>
      <c r="AE31" s="41"/>
      <c r="AF31" s="41"/>
      <c r="AG31" s="41"/>
      <c r="AH31" s="41"/>
      <c r="AI31" s="41"/>
      <c r="AJ31" s="41"/>
      <c r="AK31" s="41"/>
      <c r="AL31" s="41"/>
      <c r="AM31" s="41"/>
      <c r="AN31" s="41"/>
      <c r="AO31" s="41"/>
      <c r="AP31" s="41"/>
      <c r="AQ31" s="41"/>
      <c r="AR31" s="41"/>
      <c r="AS31" s="41"/>
      <c r="AT31" s="41"/>
      <c r="AU31" s="41"/>
      <c r="AV31" s="31">
        <v>2310998</v>
      </c>
      <c r="AW31" s="31">
        <v>1016839</v>
      </c>
      <c r="AX31" s="38">
        <f t="shared" si="0"/>
        <v>2.2727275409381424</v>
      </c>
    </row>
    <row r="32" spans="1:50" ht="15">
      <c r="A32" s="37">
        <v>1938</v>
      </c>
      <c r="B32" s="41">
        <v>214.21</v>
      </c>
      <c r="C32" s="46">
        <v>142.63</v>
      </c>
      <c r="D32" s="41">
        <v>265.29000000000002</v>
      </c>
      <c r="E32" s="41">
        <v>312.39</v>
      </c>
      <c r="F32" s="41">
        <v>164.05</v>
      </c>
      <c r="G32" s="41">
        <v>171.73</v>
      </c>
      <c r="H32" s="42">
        <v>122.18</v>
      </c>
      <c r="I32" s="41">
        <v>117.2</v>
      </c>
      <c r="J32" s="41">
        <v>534.27</v>
      </c>
      <c r="K32" s="41">
        <v>417.7</v>
      </c>
      <c r="L32" s="41">
        <v>709.71</v>
      </c>
      <c r="M32" s="41">
        <v>431.28</v>
      </c>
      <c r="N32" s="41">
        <v>335.3</v>
      </c>
      <c r="O32" s="41">
        <v>268.10000000000002</v>
      </c>
      <c r="P32" s="41">
        <v>304.8</v>
      </c>
      <c r="Q32" s="41">
        <v>197.91</v>
      </c>
      <c r="R32" s="41">
        <v>41.59</v>
      </c>
      <c r="S32" s="41">
        <v>53.54</v>
      </c>
      <c r="T32" s="41">
        <v>30.06</v>
      </c>
      <c r="U32" s="41">
        <v>63.03</v>
      </c>
      <c r="V32" s="41">
        <v>26.12</v>
      </c>
      <c r="W32" s="41">
        <v>29.92</v>
      </c>
      <c r="X32" s="41">
        <v>38.270000000000003</v>
      </c>
      <c r="Y32" s="41">
        <v>24.66</v>
      </c>
      <c r="Z32" s="41">
        <v>238.53</v>
      </c>
      <c r="AA32" s="41">
        <v>180.93</v>
      </c>
      <c r="AB32" s="41">
        <v>21.03</v>
      </c>
      <c r="AC32" s="41">
        <v>90.38</v>
      </c>
      <c r="AD32" s="41"/>
      <c r="AE32" s="41"/>
      <c r="AF32" s="41"/>
      <c r="AG32" s="41"/>
      <c r="AH32" s="41"/>
      <c r="AI32" s="41"/>
      <c r="AJ32" s="41"/>
      <c r="AK32" s="41"/>
      <c r="AL32" s="41"/>
      <c r="AM32" s="41"/>
      <c r="AN32" s="41"/>
      <c r="AO32" s="41"/>
      <c r="AP32" s="41"/>
      <c r="AQ32" s="41"/>
      <c r="AR32" s="41"/>
      <c r="AS32" s="41"/>
      <c r="AT32" s="41"/>
      <c r="AU32" s="41"/>
      <c r="AV32" s="31">
        <v>1400453</v>
      </c>
      <c r="AW32" s="31">
        <v>616199</v>
      </c>
      <c r="AX32" s="38">
        <f t="shared" si="0"/>
        <v>2.2727284529835328</v>
      </c>
    </row>
    <row r="33" spans="1:50" ht="15">
      <c r="A33" s="37">
        <v>1939</v>
      </c>
      <c r="B33" s="41">
        <v>211.59</v>
      </c>
      <c r="C33" s="46">
        <v>150.74</v>
      </c>
      <c r="D33" s="41">
        <v>271.56</v>
      </c>
      <c r="E33" s="41">
        <v>283.20999999999998</v>
      </c>
      <c r="F33" s="41">
        <v>157.68</v>
      </c>
      <c r="G33" s="41">
        <v>194.64</v>
      </c>
      <c r="H33" s="42">
        <v>115.46</v>
      </c>
      <c r="I33" s="41">
        <v>119.29</v>
      </c>
      <c r="J33" s="41">
        <v>564.9</v>
      </c>
      <c r="K33" s="41">
        <v>118.5</v>
      </c>
      <c r="L33" s="41">
        <v>801.16</v>
      </c>
      <c r="M33" s="41">
        <v>578.77</v>
      </c>
      <c r="N33" s="41">
        <v>314.58</v>
      </c>
      <c r="O33" s="41">
        <v>292.95999999999998</v>
      </c>
      <c r="P33" s="41">
        <v>292.87</v>
      </c>
      <c r="Q33" s="41">
        <v>156.32</v>
      </c>
      <c r="R33" s="41">
        <v>25.45</v>
      </c>
      <c r="S33" s="41">
        <v>40.049999999999997</v>
      </c>
      <c r="T33" s="41">
        <v>27.88</v>
      </c>
      <c r="U33" s="41">
        <v>63.3</v>
      </c>
      <c r="V33" s="41">
        <v>19.809999999999999</v>
      </c>
      <c r="W33" s="41">
        <v>22.8</v>
      </c>
      <c r="X33" s="41">
        <v>25.23</v>
      </c>
      <c r="Y33" s="41">
        <v>16.46</v>
      </c>
      <c r="Z33" s="41">
        <v>231.8</v>
      </c>
      <c r="AA33" s="41">
        <v>177.17</v>
      </c>
      <c r="AB33" s="41">
        <v>22.44</v>
      </c>
      <c r="AC33" s="41">
        <v>94.07</v>
      </c>
      <c r="AD33" s="41"/>
      <c r="AE33" s="41"/>
      <c r="AF33" s="41"/>
      <c r="AG33" s="41"/>
      <c r="AH33" s="41"/>
      <c r="AI33" s="41"/>
      <c r="AJ33" s="41"/>
      <c r="AK33" s="41"/>
      <c r="AL33" s="41"/>
      <c r="AM33" s="41"/>
      <c r="AN33" s="41"/>
      <c r="AO33" s="41"/>
      <c r="AP33" s="41"/>
      <c r="AQ33" s="41"/>
      <c r="AR33" s="41"/>
      <c r="AS33" s="41"/>
      <c r="AT33" s="41"/>
      <c r="AU33" s="41"/>
      <c r="AV33" s="31"/>
      <c r="AW33" s="31"/>
      <c r="AX33" s="38"/>
    </row>
    <row r="34" spans="1:50">
      <c r="M34" s="40"/>
      <c r="U34" s="40"/>
    </row>
    <row r="35" spans="1:50" ht="15">
      <c r="B35" s="108" t="s">
        <v>38</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60"/>
  <sheetViews>
    <sheetView zoomScaleNormal="125" zoomScalePageLayoutView="125" workbookViewId="0">
      <pane xSplit="1" ySplit="1" topLeftCell="B2" activePane="bottomRight" state="frozen"/>
      <selection pane="topRight" activeCell="B1" sqref="B1"/>
      <selection pane="bottomLeft" activeCell="A2" sqref="A2"/>
      <selection pane="bottomRight"/>
    </sheetView>
  </sheetViews>
  <sheetFormatPr baseColWidth="10" defaultRowHeight="13"/>
  <sheetData>
    <row r="1" spans="1:4" ht="15">
      <c r="A1" s="4"/>
      <c r="B1" s="4" t="s">
        <v>368</v>
      </c>
      <c r="C1" s="4" t="s">
        <v>369</v>
      </c>
      <c r="D1" s="4" t="s">
        <v>370</v>
      </c>
    </row>
    <row r="2" spans="1:4" ht="15">
      <c r="A2" s="4">
        <v>1780</v>
      </c>
      <c r="B2" s="109">
        <f>Px!B5/Px!B$138*100</f>
        <v>15.524286717005667</v>
      </c>
      <c r="C2" s="109">
        <f>Pm!B5/Pm!B$135*100</f>
        <v>321.98758480201178</v>
      </c>
      <c r="D2" s="91">
        <f>B2/C2*100</f>
        <v>4.8213929510827125</v>
      </c>
    </row>
    <row r="3" spans="1:4" ht="15">
      <c r="A3" s="4">
        <v>1781</v>
      </c>
      <c r="B3" s="109">
        <f>Px!B6/Px!B$138*100</f>
        <v>15.411172846315427</v>
      </c>
      <c r="C3" s="109">
        <f>Pm!B6/Pm!B$135*100</f>
        <v>317.72067491166911</v>
      </c>
      <c r="D3" s="91">
        <f t="shared" ref="D3:D18" si="0">B3/C3*100</f>
        <v>4.8505413916170088</v>
      </c>
    </row>
    <row r="4" spans="1:4" ht="15">
      <c r="A4" s="4">
        <v>1782</v>
      </c>
      <c r="B4" s="109">
        <f>Px!B7/Px!B$138*100</f>
        <v>15.885111353784309</v>
      </c>
      <c r="C4" s="109">
        <f>Pm!B7/Pm!B$135*100</f>
        <v>326.40702224047084</v>
      </c>
      <c r="D4" s="91">
        <f t="shared" si="0"/>
        <v>4.8666573545961942</v>
      </c>
    </row>
    <row r="5" spans="1:4" ht="15">
      <c r="A5" s="4">
        <v>1783</v>
      </c>
      <c r="B5" s="109">
        <f>Px!B8/Px!B$138*100</f>
        <v>18.098758036973894</v>
      </c>
      <c r="C5" s="109">
        <f>Pm!B8/Pm!B$135*100</f>
        <v>320.92583362632053</v>
      </c>
      <c r="D5" s="91">
        <f t="shared" si="0"/>
        <v>5.6395453841985557</v>
      </c>
    </row>
    <row r="6" spans="1:4" ht="15">
      <c r="A6" s="4">
        <v>1784</v>
      </c>
      <c r="B6" s="109">
        <f>Px!B9/Px!B$138*100</f>
        <v>20.987576905746607</v>
      </c>
      <c r="C6" s="109">
        <f>Pm!B9/Pm!B$135*100</f>
        <v>314.83230513974485</v>
      </c>
      <c r="D6" s="91">
        <f t="shared" si="0"/>
        <v>6.666271714534135</v>
      </c>
    </row>
    <row r="7" spans="1:4" ht="15">
      <c r="A7" s="4">
        <v>1785</v>
      </c>
      <c r="B7" s="109">
        <f>Px!B10/Px!B$138*100</f>
        <v>15.365476982939089</v>
      </c>
      <c r="C7" s="109">
        <f>Pm!B10/Pm!B$135*100</f>
        <v>316.83760644636743</v>
      </c>
      <c r="D7" s="91">
        <f t="shared" si="0"/>
        <v>4.8496380070779495</v>
      </c>
    </row>
    <row r="8" spans="1:4" ht="15">
      <c r="A8" s="4">
        <v>1786</v>
      </c>
      <c r="B8" s="109">
        <f>Px!B11/Px!B$138*100</f>
        <v>14.233184750701497</v>
      </c>
      <c r="C8" s="109">
        <f>Pm!B11/Pm!B$135*100</f>
        <v>320.1384675859203</v>
      </c>
      <c r="D8" s="91">
        <f t="shared" si="0"/>
        <v>4.4459464237553794</v>
      </c>
    </row>
    <row r="9" spans="1:4" ht="15">
      <c r="A9" s="4">
        <v>1787</v>
      </c>
      <c r="B9" s="109">
        <f>Px!B12/Px!B$138*100</f>
        <v>18.580430071865479</v>
      </c>
      <c r="C9" s="109">
        <f>Pm!B12/Pm!B$135*100</f>
        <v>321.86766391381741</v>
      </c>
      <c r="D9" s="91">
        <f t="shared" si="0"/>
        <v>5.7726923686377312</v>
      </c>
    </row>
    <row r="10" spans="1:4" ht="15">
      <c r="A10" s="4">
        <v>1788</v>
      </c>
      <c r="B10" s="109">
        <f>Px!B13/Px!B$138*100</f>
        <v>18.823530100091318</v>
      </c>
      <c r="C10" s="109">
        <f>Pm!B13/Pm!B$135*100</f>
        <v>316.53410138374352</v>
      </c>
      <c r="D10" s="91">
        <f t="shared" si="0"/>
        <v>5.9467621396252035</v>
      </c>
    </row>
    <row r="11" spans="1:4" ht="15">
      <c r="A11" s="4">
        <v>1789</v>
      </c>
      <c r="B11" s="109">
        <f>Px!B14/Px!B$138*100</f>
        <v>17.479070058214099</v>
      </c>
      <c r="C11" s="109">
        <f>Pm!B14/Pm!B$135*100</f>
        <v>317.9494566757819</v>
      </c>
      <c r="D11" s="91">
        <f t="shared" si="0"/>
        <v>5.4974366809620889</v>
      </c>
    </row>
    <row r="12" spans="1:4" ht="15">
      <c r="A12" s="4">
        <v>1790</v>
      </c>
      <c r="B12" s="109">
        <f>Px!B15/Px!B$138*100</f>
        <v>8.8539197981769568</v>
      </c>
      <c r="C12" s="109">
        <f>Pm!B15/Pm!B$135*100</f>
        <v>320.63566560315036</v>
      </c>
      <c r="D12" s="91">
        <f t="shared" si="0"/>
        <v>2.7613646103660292</v>
      </c>
    </row>
    <row r="13" spans="1:4" ht="15">
      <c r="A13" s="4">
        <v>1791</v>
      </c>
      <c r="B13" s="109">
        <f>Px!B16/Px!B$138*100</f>
        <v>16.077554239634971</v>
      </c>
      <c r="C13" s="109">
        <f>Pm!B16/Pm!B$135*100</f>
        <v>317.24151020027296</v>
      </c>
      <c r="D13" s="91">
        <f t="shared" si="0"/>
        <v>5.0679226150087651</v>
      </c>
    </row>
    <row r="14" spans="1:4" ht="15">
      <c r="A14" s="4">
        <v>1792</v>
      </c>
      <c r="B14" s="109">
        <f>Px!B17/Px!B$138*100</f>
        <v>14.539561798096814</v>
      </c>
      <c r="C14" s="109">
        <f>Pm!B17/Pm!B$135*100</f>
        <v>324.25989945075116</v>
      </c>
      <c r="D14" s="91">
        <f t="shared" si="0"/>
        <v>4.4839222557968794</v>
      </c>
    </row>
    <row r="15" spans="1:4" ht="15">
      <c r="A15" s="4">
        <v>1793</v>
      </c>
      <c r="B15" s="109">
        <f>Px!B18/Px!B$138*100</f>
        <v>14.125546550192968</v>
      </c>
      <c r="C15" s="109">
        <f>Pm!B18/Pm!B$135*100</f>
        <v>339.60227758549149</v>
      </c>
      <c r="D15" s="91">
        <f t="shared" si="0"/>
        <v>4.1594381081961389</v>
      </c>
    </row>
    <row r="16" spans="1:4" ht="15">
      <c r="A16" s="4">
        <v>1794</v>
      </c>
      <c r="B16" s="109">
        <f>Px!B19/Px!B$138*100</f>
        <v>16.012584469586276</v>
      </c>
      <c r="C16" s="109">
        <f>Pm!B19/Pm!B$135*100</f>
        <v>340.89815282683202</v>
      </c>
      <c r="D16" s="91">
        <f t="shared" si="0"/>
        <v>4.6971754868147615</v>
      </c>
    </row>
    <row r="17" spans="1:4" ht="15">
      <c r="A17" s="4">
        <v>1795</v>
      </c>
      <c r="B17" s="109">
        <f>Px!B20/Px!B$138*100</f>
        <v>25.015237083874318</v>
      </c>
      <c r="C17" s="109">
        <f>Pm!B20/Pm!B$135*100</f>
        <v>373.20295812418982</v>
      </c>
      <c r="D17" s="91">
        <f t="shared" si="0"/>
        <v>6.7028506980778166</v>
      </c>
    </row>
    <row r="18" spans="1:4" ht="15">
      <c r="A18" s="4">
        <v>1796</v>
      </c>
      <c r="B18" s="109">
        <f>Px!B21/Px!B$138*100</f>
        <v>25.26310147571149</v>
      </c>
      <c r="C18" s="109">
        <f>Pm!B21/Pm!B$135*100</f>
        <v>405.01704686415991</v>
      </c>
      <c r="D18" s="91">
        <f t="shared" si="0"/>
        <v>6.2375402890596279</v>
      </c>
    </row>
    <row r="19" spans="1:4" ht="15">
      <c r="A19" s="4">
        <v>1797</v>
      </c>
      <c r="B19" s="109"/>
      <c r="C19" s="109">
        <f>Pm!B22/Pm!B$135*100</f>
        <v>391.18683705290368</v>
      </c>
      <c r="D19" s="91"/>
    </row>
    <row r="20" spans="1:4" ht="15">
      <c r="A20" s="4">
        <v>1798</v>
      </c>
      <c r="B20" s="109"/>
      <c r="C20" s="109">
        <f>Pm!B23/Pm!B$135*100</f>
        <v>399.76219813267932</v>
      </c>
      <c r="D20" s="91"/>
    </row>
    <row r="21" spans="1:4" ht="15">
      <c r="A21" s="4">
        <v>1799</v>
      </c>
      <c r="B21" s="109"/>
      <c r="C21" s="109">
        <f>Pm!B24/Pm!B$135*100</f>
        <v>430.09581001341468</v>
      </c>
      <c r="D21" s="91"/>
    </row>
    <row r="22" spans="1:4" ht="15">
      <c r="A22" s="4">
        <v>1800</v>
      </c>
      <c r="B22" s="109"/>
      <c r="C22" s="109">
        <f>Pm!B25/Pm!B$135*100</f>
        <v>397.4058839927244</v>
      </c>
      <c r="D22" s="91"/>
    </row>
    <row r="23" spans="1:4" ht="15">
      <c r="A23" s="4">
        <v>1801</v>
      </c>
      <c r="B23" s="109"/>
      <c r="C23" s="109">
        <f>Pm!B26/Pm!B$135*100</f>
        <v>407.33274427980393</v>
      </c>
      <c r="D23" s="91"/>
    </row>
    <row r="24" spans="1:4" ht="15">
      <c r="A24" s="4">
        <v>1802</v>
      </c>
      <c r="B24" s="109"/>
      <c r="C24" s="109">
        <f>Pm!B27/Pm!B$135*100</f>
        <v>388.57082307496427</v>
      </c>
      <c r="D24" s="91"/>
    </row>
    <row r="25" spans="1:4" ht="15">
      <c r="A25" s="4">
        <v>1803</v>
      </c>
      <c r="B25" s="109"/>
      <c r="C25" s="109">
        <f>Pm!B28/Pm!B$135*100</f>
        <v>386.86592728892123</v>
      </c>
      <c r="D25" s="91"/>
    </row>
    <row r="26" spans="1:4" ht="15">
      <c r="A26" s="4">
        <v>1804</v>
      </c>
      <c r="B26" s="109"/>
      <c r="C26" s="109">
        <f>Pm!B29/Pm!B$135*100</f>
        <v>391.05441741859909</v>
      </c>
      <c r="D26" s="91"/>
    </row>
    <row r="27" spans="1:4" ht="15">
      <c r="A27" s="4">
        <v>1805</v>
      </c>
      <c r="B27" s="109"/>
      <c r="C27" s="109">
        <f>Pm!B30/Pm!B$135*100</f>
        <v>402.60925502427671</v>
      </c>
      <c r="D27" s="91"/>
    </row>
    <row r="28" spans="1:4" ht="15">
      <c r="A28" s="4">
        <v>1806</v>
      </c>
      <c r="B28" s="109"/>
      <c r="C28" s="109">
        <f>Pm!B31/Pm!B$135*100</f>
        <v>378.89651764534614</v>
      </c>
      <c r="D28" s="91"/>
    </row>
    <row r="29" spans="1:4" ht="15">
      <c r="A29" s="4">
        <v>1807</v>
      </c>
      <c r="B29" s="109"/>
      <c r="C29" s="109">
        <f>Pm!B32/Pm!B$135*100</f>
        <v>354.24017028585195</v>
      </c>
      <c r="D29" s="91"/>
    </row>
    <row r="30" spans="1:4" ht="15">
      <c r="A30" s="4">
        <v>1808</v>
      </c>
      <c r="B30" s="109"/>
      <c r="C30" s="109">
        <f>Pm!B33/Pm!B$135*100</f>
        <v>329.67226025605436</v>
      </c>
      <c r="D30" s="91"/>
    </row>
    <row r="31" spans="1:4" ht="15">
      <c r="A31" s="4">
        <v>1809</v>
      </c>
      <c r="B31" s="109"/>
      <c r="C31" s="109">
        <f>Pm!B34/Pm!B$135*100</f>
        <v>314.00924422650615</v>
      </c>
      <c r="D31" s="91"/>
    </row>
    <row r="32" spans="1:4" ht="15">
      <c r="A32" s="4">
        <v>1810</v>
      </c>
      <c r="B32" s="109">
        <f>Px!B35/Px!B$138*100</f>
        <v>23.887349262719042</v>
      </c>
      <c r="C32" s="109">
        <f>Pm!B35/Pm!B$135*100</f>
        <v>326.20340633666541</v>
      </c>
      <c r="D32" s="91">
        <f t="shared" ref="D32:D45" si="1">B32/C32*100</f>
        <v>7.3228386947209181</v>
      </c>
    </row>
    <row r="33" spans="1:4" ht="15">
      <c r="A33" s="4">
        <v>1811</v>
      </c>
      <c r="B33" s="109">
        <f>Px!B36/Px!B$138*100</f>
        <v>24.203549295220736</v>
      </c>
      <c r="C33" s="109">
        <f>Pm!B36/Pm!B$135*100</f>
        <v>296.19321962902296</v>
      </c>
      <c r="D33" s="91">
        <f t="shared" si="1"/>
        <v>8.1715406333525387</v>
      </c>
    </row>
    <row r="34" spans="1:4" ht="15">
      <c r="A34" s="4">
        <v>1812</v>
      </c>
      <c r="B34" s="109">
        <f>Px!B37/Px!B$138*100</f>
        <v>43.539695643045633</v>
      </c>
      <c r="C34" s="109">
        <f>Pm!B37/Pm!B$135*100</f>
        <v>321.92177761774275</v>
      </c>
      <c r="D34" s="91">
        <f t="shared" si="1"/>
        <v>13.524930175660765</v>
      </c>
    </row>
    <row r="35" spans="1:4" ht="15">
      <c r="A35" s="4">
        <v>1813</v>
      </c>
      <c r="B35" s="109">
        <f>Px!B38/Px!B$138*100</f>
        <v>47.0997452573923</v>
      </c>
      <c r="C35" s="109">
        <f>Pm!B38/Pm!B$135*100</f>
        <v>323.28596291829018</v>
      </c>
      <c r="D35" s="91">
        <f t="shared" si="1"/>
        <v>14.569065984871314</v>
      </c>
    </row>
    <row r="36" spans="1:4" ht="15">
      <c r="A36" s="4">
        <v>1814</v>
      </c>
      <c r="B36" s="109">
        <f>Px!B39/Px!B$138*100</f>
        <v>43.338403299080284</v>
      </c>
      <c r="C36" s="109">
        <f>Pm!B39/Pm!B$135*100</f>
        <v>316.12350476592042</v>
      </c>
      <c r="D36" s="91">
        <f t="shared" si="1"/>
        <v>13.709326464405427</v>
      </c>
    </row>
    <row r="37" spans="1:4" ht="15">
      <c r="A37" s="4">
        <v>1815</v>
      </c>
      <c r="B37" s="109">
        <f>Px!B40/Px!B$138*100</f>
        <v>43.711771802295061</v>
      </c>
      <c r="C37" s="109">
        <f>Pm!B40/Pm!B$135*100</f>
        <v>299.71660944292222</v>
      </c>
      <c r="D37" s="91">
        <f t="shared" si="1"/>
        <v>14.584367507540316</v>
      </c>
    </row>
    <row r="38" spans="1:4" ht="15">
      <c r="A38" s="4">
        <v>1816</v>
      </c>
      <c r="B38" s="109">
        <f>Px!B41/Px!B$138*100</f>
        <v>56.309501670023899</v>
      </c>
      <c r="C38" s="109">
        <f>Pm!B41/Pm!B$135*100</f>
        <v>292.46936525795377</v>
      </c>
      <c r="D38" s="91">
        <f t="shared" si="1"/>
        <v>19.253128142279014</v>
      </c>
    </row>
    <row r="39" spans="1:4" ht="15">
      <c r="A39" s="4">
        <v>1817</v>
      </c>
      <c r="B39" s="109">
        <f>Px!B42/Px!B$138*100</f>
        <v>57.659159666829993</v>
      </c>
      <c r="C39" s="109">
        <f>Pm!B42/Pm!B$135*100</f>
        <v>286.88780149608954</v>
      </c>
      <c r="D39" s="91">
        <f t="shared" si="1"/>
        <v>20.098156619467115</v>
      </c>
    </row>
    <row r="40" spans="1:4" ht="15">
      <c r="A40" s="4">
        <v>1818</v>
      </c>
      <c r="B40" s="109">
        <f>Px!B43/Px!B$138*100</f>
        <v>59.584081727848456</v>
      </c>
      <c r="C40" s="109">
        <f>Pm!B43/Pm!B$135*100</f>
        <v>297.8890605830789</v>
      </c>
      <c r="D40" s="91">
        <f t="shared" si="1"/>
        <v>20.002104679916879</v>
      </c>
    </row>
    <row r="41" spans="1:4" ht="15">
      <c r="A41" s="4">
        <v>1819</v>
      </c>
      <c r="B41" s="109">
        <f>Px!B44/Px!B$138*100</f>
        <v>58.920315499911048</v>
      </c>
      <c r="C41" s="109">
        <f>Pm!B44/Pm!B$135*100</f>
        <v>272.82986873746529</v>
      </c>
      <c r="D41" s="91">
        <f t="shared" si="1"/>
        <v>21.595991587199723</v>
      </c>
    </row>
    <row r="42" spans="1:4" ht="15">
      <c r="A42" s="4">
        <v>1820</v>
      </c>
      <c r="B42" s="109">
        <f>Px!B45/Px!B$138*100</f>
        <v>55.712112064880237</v>
      </c>
      <c r="C42" s="109">
        <f>Pm!B45/Pm!B$135*100</f>
        <v>236.57811439289668</v>
      </c>
      <c r="D42" s="91">
        <f t="shared" si="1"/>
        <v>23.549140294675123</v>
      </c>
    </row>
    <row r="43" spans="1:4" ht="15">
      <c r="A43" s="4">
        <v>1821</v>
      </c>
      <c r="B43" s="109">
        <f>Px!B46/Px!B$138*100</f>
        <v>73.362531868397937</v>
      </c>
      <c r="C43" s="109">
        <f>Pm!B46/Pm!B$135*100</f>
        <v>218.80394017533783</v>
      </c>
      <c r="D43" s="91">
        <f t="shared" si="1"/>
        <v>33.528889749247256</v>
      </c>
    </row>
    <row r="44" spans="1:4" ht="15">
      <c r="A44" s="4">
        <v>1822</v>
      </c>
      <c r="B44" s="109">
        <f>Px!B47/Px!B$138*100</f>
        <v>79.626883263153431</v>
      </c>
      <c r="C44" s="109">
        <f>Pm!B47/Pm!B$135*100</f>
        <v>202.94482078754558</v>
      </c>
      <c r="D44" s="91">
        <f t="shared" si="1"/>
        <v>39.235730655334869</v>
      </c>
    </row>
    <row r="45" spans="1:4" ht="15">
      <c r="A45" s="4">
        <v>1823</v>
      </c>
      <c r="B45" s="109">
        <f>Px!B48/Px!B$138*100</f>
        <v>74.049082804402062</v>
      </c>
      <c r="C45" s="109">
        <f>Pm!B48/Pm!B$135*100</f>
        <v>197.68986961696123</v>
      </c>
      <c r="D45" s="91">
        <f t="shared" si="1"/>
        <v>37.457196439998491</v>
      </c>
    </row>
    <row r="46" spans="1:4" ht="15">
      <c r="A46" s="4">
        <v>1824</v>
      </c>
      <c r="B46" s="109"/>
      <c r="C46" s="109">
        <f>Pm!B49/Pm!B$135*100</f>
        <v>188.25827592264815</v>
      </c>
      <c r="D46" s="91"/>
    </row>
    <row r="47" spans="1:4" ht="15">
      <c r="A47" s="4">
        <v>1825</v>
      </c>
      <c r="B47" s="109"/>
      <c r="C47" s="109">
        <f>Pm!B50/Pm!B$135*100</f>
        <v>206.52296329814641</v>
      </c>
      <c r="D47" s="91"/>
    </row>
    <row r="48" spans="1:4" ht="15">
      <c r="A48" s="4">
        <v>1826</v>
      </c>
      <c r="B48" s="109"/>
      <c r="C48" s="109">
        <f>Pm!B51/Pm!B$135*100</f>
        <v>184.79050993993457</v>
      </c>
      <c r="D48" s="91"/>
    </row>
    <row r="49" spans="1:4" ht="15">
      <c r="A49" s="4">
        <v>1827</v>
      </c>
      <c r="B49" s="109"/>
      <c r="C49" s="109">
        <f>Pm!B52/Pm!B$135*100</f>
        <v>168.90563252912384</v>
      </c>
      <c r="D49" s="91"/>
    </row>
    <row r="50" spans="1:4" ht="15">
      <c r="A50" s="4">
        <v>1828</v>
      </c>
      <c r="B50" s="109"/>
      <c r="C50" s="109">
        <f>Pm!B53/Pm!B$135*100</f>
        <v>164.70776379359069</v>
      </c>
      <c r="D50" s="91"/>
    </row>
    <row r="51" spans="1:4" ht="15">
      <c r="A51" s="4">
        <v>1829</v>
      </c>
      <c r="B51" s="109">
        <f>Px!B54/Px!B$138*100</f>
        <v>57.879489971419005</v>
      </c>
      <c r="C51" s="109">
        <f>Pm!B54/Pm!B$135*100</f>
        <v>154.99517425650245</v>
      </c>
      <c r="D51" s="91">
        <f t="shared" ref="D51:D73" si="2">B51/C51*100</f>
        <v>37.342769056560357</v>
      </c>
    </row>
    <row r="52" spans="1:4" ht="15">
      <c r="A52" s="4">
        <v>1830</v>
      </c>
      <c r="B52" s="109">
        <f>Px!B55/Px!B$138*100</f>
        <v>61.09056199398313</v>
      </c>
      <c r="C52" s="109">
        <f>Pm!B55/Pm!B$135*100</f>
        <v>149.02384238345002</v>
      </c>
      <c r="D52" s="91">
        <f t="shared" si="2"/>
        <v>40.99381751061842</v>
      </c>
    </row>
    <row r="53" spans="1:4" ht="15">
      <c r="A53" s="4">
        <v>1831</v>
      </c>
      <c r="B53" s="109">
        <f>Px!B56/Px!B$138*100</f>
        <v>55.030524562814684</v>
      </c>
      <c r="C53" s="109">
        <f>Pm!B56/Pm!B$135*100</f>
        <v>139.81415466545215</v>
      </c>
      <c r="D53" s="91">
        <f t="shared" si="2"/>
        <v>39.359766323010668</v>
      </c>
    </row>
    <row r="54" spans="1:4" ht="15">
      <c r="A54" s="4">
        <v>1832</v>
      </c>
      <c r="B54" s="109">
        <f>Px!B57/Px!B$138*100</f>
        <v>57.121767068977803</v>
      </c>
      <c r="C54" s="109">
        <f>Pm!B57/Pm!B$135*100</f>
        <v>143.89114296932595</v>
      </c>
      <c r="D54" s="91">
        <f t="shared" si="2"/>
        <v>39.697903491637945</v>
      </c>
    </row>
    <row r="55" spans="1:4" ht="15">
      <c r="A55" s="4">
        <v>1833</v>
      </c>
      <c r="B55" s="109">
        <f>Px!B58/Px!B$138*100</f>
        <v>57.293719380527349</v>
      </c>
      <c r="C55" s="109">
        <f>Pm!B58/Pm!B$135*100</f>
        <v>142.9076944865057</v>
      </c>
      <c r="D55" s="91">
        <f t="shared" si="2"/>
        <v>40.091416761283909</v>
      </c>
    </row>
    <row r="56" spans="1:4" ht="15">
      <c r="A56" s="4">
        <v>1834</v>
      </c>
      <c r="B56" s="109">
        <f>Px!B59/Px!B$138*100</f>
        <v>60.709402004851142</v>
      </c>
      <c r="C56" s="109">
        <f>Pm!B59/Pm!B$135*100</f>
        <v>146.42871727316529</v>
      </c>
      <c r="D56" s="91">
        <f t="shared" si="2"/>
        <v>41.460038123257412</v>
      </c>
    </row>
    <row r="57" spans="1:4" ht="15">
      <c r="A57" s="4">
        <v>1835</v>
      </c>
      <c r="B57" s="109">
        <f>Px!B60/Px!B$138*100</f>
        <v>56.732964592118861</v>
      </c>
      <c r="C57" s="109">
        <f>Pm!B60/Pm!B$135*100</f>
        <v>151.94878391855332</v>
      </c>
      <c r="D57" s="91">
        <f t="shared" si="2"/>
        <v>37.336899400608907</v>
      </c>
    </row>
    <row r="58" spans="1:4" ht="15">
      <c r="A58" s="4">
        <v>1836</v>
      </c>
      <c r="B58" s="109">
        <f>Px!B61/Px!B$138*100</f>
        <v>57.557115127204654</v>
      </c>
      <c r="C58" s="109">
        <f>Pm!B61/Pm!B$135*100</f>
        <v>160.44291292003183</v>
      </c>
      <c r="D58" s="91">
        <f t="shared" si="2"/>
        <v>35.873890644139792</v>
      </c>
    </row>
    <row r="59" spans="1:4" ht="15">
      <c r="A59" s="4">
        <v>1837</v>
      </c>
      <c r="B59" s="109">
        <f>Px!B62/Px!B$138*100</f>
        <v>52.746311472920247</v>
      </c>
      <c r="C59" s="109">
        <f>Pm!B62/Pm!B$135*100</f>
        <v>146.95566388072703</v>
      </c>
      <c r="D59" s="91">
        <f t="shared" si="2"/>
        <v>35.892669993128337</v>
      </c>
    </row>
    <row r="60" spans="1:4" ht="15">
      <c r="A60" s="4">
        <v>1838</v>
      </c>
      <c r="B60" s="109">
        <f>Px!B63/Px!B$138*100</f>
        <v>46.414465488456045</v>
      </c>
      <c r="C60" s="109">
        <f>Pm!B63/Pm!B$135*100</f>
        <v>134.79597911413867</v>
      </c>
      <c r="D60" s="91">
        <f t="shared" si="2"/>
        <v>34.433123149136769</v>
      </c>
    </row>
    <row r="61" spans="1:4" ht="15">
      <c r="A61" s="4">
        <v>1839</v>
      </c>
      <c r="B61" s="109">
        <f>Px!B64/Px!B$138*100</f>
        <v>36.024734216103546</v>
      </c>
      <c r="C61" s="109">
        <f>Pm!B64/Pm!B$135*100</f>
        <v>140.52528313957842</v>
      </c>
      <c r="D61" s="91">
        <f t="shared" si="2"/>
        <v>25.635767038676981</v>
      </c>
    </row>
    <row r="62" spans="1:4" ht="15">
      <c r="A62" s="4">
        <v>1840</v>
      </c>
      <c r="B62" s="109">
        <f>Px!B65/Px!B$138*100</f>
        <v>32.675873177219053</v>
      </c>
      <c r="C62" s="109">
        <f>Pm!B65/Pm!B$135*100</f>
        <v>128.52935263749609</v>
      </c>
      <c r="D62" s="91">
        <f t="shared" si="2"/>
        <v>25.422887851445118</v>
      </c>
    </row>
    <row r="63" spans="1:4" ht="15">
      <c r="A63" s="4">
        <v>1841</v>
      </c>
      <c r="B63" s="109">
        <f>Px!B66/Px!B$138*100</f>
        <v>45.231037898004594</v>
      </c>
      <c r="C63" s="109">
        <f>Pm!B66/Pm!B$135*100</f>
        <v>128.85071773202384</v>
      </c>
      <c r="D63" s="91">
        <f t="shared" si="2"/>
        <v>35.10344272359697</v>
      </c>
    </row>
    <row r="64" spans="1:4" ht="15">
      <c r="A64" s="4">
        <v>1842</v>
      </c>
      <c r="B64" s="109">
        <f>Px!B67/Px!B$138*100</f>
        <v>44.022455153944058</v>
      </c>
      <c r="C64" s="109">
        <f>Pm!B67/Pm!B$135*100</f>
        <v>120.2393071266815</v>
      </c>
      <c r="D64" s="91">
        <f t="shared" si="2"/>
        <v>36.612365960794307</v>
      </c>
    </row>
    <row r="65" spans="1:4" ht="15">
      <c r="A65" s="4">
        <v>1843</v>
      </c>
      <c r="B65" s="109">
        <f>Px!B68/Px!B$138*100</f>
        <v>45.581719862192799</v>
      </c>
      <c r="C65" s="109">
        <f>Pm!B68/Pm!B$135*100</f>
        <v>111.18318367616928</v>
      </c>
      <c r="D65" s="91">
        <f t="shared" si="2"/>
        <v>40.996955074567332</v>
      </c>
    </row>
    <row r="66" spans="1:4" ht="15">
      <c r="A66" s="4">
        <v>1844</v>
      </c>
      <c r="B66" s="109">
        <f>Px!B69/Px!B$138*100</f>
        <v>44.378945320079524</v>
      </c>
      <c r="C66" s="109">
        <f>Pm!B69/Pm!B$135*100</f>
        <v>113.74862103509307</v>
      </c>
      <c r="D66" s="91">
        <f t="shared" si="2"/>
        <v>39.014930393211529</v>
      </c>
    </row>
    <row r="67" spans="1:4" ht="15">
      <c r="A67" s="4">
        <v>1845</v>
      </c>
      <c r="B67" s="109">
        <f>Px!B70/Px!B$138*100</f>
        <v>35.184336788667316</v>
      </c>
      <c r="C67" s="109">
        <f>Pm!B70/Pm!B$135*100</f>
        <v>115.77343590245148</v>
      </c>
      <c r="D67" s="91">
        <f t="shared" si="2"/>
        <v>30.390682037210137</v>
      </c>
    </row>
    <row r="68" spans="1:4" ht="15">
      <c r="A68" s="4">
        <v>1846</v>
      </c>
      <c r="B68" s="109">
        <f>Px!B71/Px!B$138*100</f>
        <v>27.704686453968723</v>
      </c>
      <c r="C68" s="109">
        <f>Pm!B71/Pm!B$135*100</f>
        <v>115.28815025891275</v>
      </c>
      <c r="D68" s="91">
        <f t="shared" si="2"/>
        <v>24.030818771703657</v>
      </c>
    </row>
    <row r="69" spans="1:4" ht="15">
      <c r="A69" s="4">
        <v>1847</v>
      </c>
      <c r="B69" s="109">
        <f>Px!B72/Px!B$138*100</f>
        <v>28.650113187884322</v>
      </c>
      <c r="C69" s="109">
        <f>Pm!B72/Pm!B$135*100</f>
        <v>117.87356069582202</v>
      </c>
      <c r="D69" s="91">
        <f t="shared" si="2"/>
        <v>24.305801079359277</v>
      </c>
    </row>
    <row r="70" spans="1:4" ht="15">
      <c r="A70" s="4">
        <v>1848</v>
      </c>
      <c r="B70" s="109">
        <f>Px!B73/Px!B$138*100</f>
        <v>25.467588910586013</v>
      </c>
      <c r="C70" s="109">
        <f>Pm!B73/Pm!B$135*100</f>
        <v>106.30067887391252</v>
      </c>
      <c r="D70" s="91">
        <f t="shared" si="2"/>
        <v>23.95806798260822</v>
      </c>
    </row>
    <row r="71" spans="1:4" ht="15">
      <c r="A71" s="4">
        <v>1849</v>
      </c>
      <c r="B71" s="109">
        <f>Px!B74/Px!B$138*100</f>
        <v>31.587709209375863</v>
      </c>
      <c r="C71" s="109">
        <f>Pm!B74/Pm!B$135*100</f>
        <v>102.56693230842917</v>
      </c>
      <c r="D71" s="91">
        <f t="shared" si="2"/>
        <v>30.797166785088603</v>
      </c>
    </row>
    <row r="72" spans="1:4" ht="15">
      <c r="A72" s="4">
        <v>1850</v>
      </c>
      <c r="B72" s="109">
        <f>Px!B75/Px!B$138*100</f>
        <v>44.032891290136412</v>
      </c>
      <c r="C72" s="109">
        <f>Pm!B75/Pm!B$135*100</f>
        <v>114.6189419404912</v>
      </c>
      <c r="D72" s="91">
        <f t="shared" si="2"/>
        <v>38.4167665000762</v>
      </c>
    </row>
    <row r="73" spans="1:4" ht="15">
      <c r="A73" s="4">
        <v>1851</v>
      </c>
      <c r="B73" s="109">
        <f>Px!B76/Px!B$138*100</f>
        <v>46.172779396518031</v>
      </c>
      <c r="C73" s="109">
        <f>Pm!B76/Pm!B$135*100</f>
        <v>114.10145705228088</v>
      </c>
      <c r="D73" s="91">
        <f t="shared" si="2"/>
        <v>40.466423996112361</v>
      </c>
    </row>
    <row r="74" spans="1:4" ht="15">
      <c r="A74" s="4">
        <v>1852</v>
      </c>
      <c r="B74" s="109"/>
      <c r="C74" s="109">
        <f>Pm!B77/Pm!B$135*100</f>
        <v>115.87028053683737</v>
      </c>
      <c r="D74" s="91"/>
    </row>
    <row r="75" spans="1:4" ht="15">
      <c r="A75" s="4">
        <v>1853</v>
      </c>
      <c r="B75" s="109"/>
      <c r="C75" s="109">
        <f>Pm!B78/Pm!B$135*100</f>
        <v>127.42264163967066</v>
      </c>
      <c r="D75" s="91"/>
    </row>
    <row r="76" spans="1:4" ht="15">
      <c r="A76" s="4">
        <v>1854</v>
      </c>
      <c r="B76" s="109"/>
      <c r="C76" s="109">
        <f>Pm!B79/Pm!B$135*100</f>
        <v>133.06989071002607</v>
      </c>
      <c r="D76" s="91"/>
    </row>
    <row r="77" spans="1:4" ht="15">
      <c r="A77" s="4">
        <v>1855</v>
      </c>
      <c r="B77" s="109"/>
      <c r="C77" s="109">
        <f>Pm!B80/Pm!B$135*100</f>
        <v>124.84351715085499</v>
      </c>
      <c r="D77" s="91"/>
    </row>
    <row r="78" spans="1:4" ht="15">
      <c r="A78" s="4">
        <v>1856</v>
      </c>
      <c r="B78" s="109"/>
      <c r="C78" s="109">
        <f>Pm!B81/Pm!B$135*100</f>
        <v>133.26729528949446</v>
      </c>
      <c r="D78" s="91"/>
    </row>
    <row r="79" spans="1:4" ht="15">
      <c r="A79" s="4">
        <v>1857</v>
      </c>
      <c r="B79" s="109"/>
      <c r="C79" s="109">
        <f>Pm!B82/Pm!B$135*100</f>
        <v>139.74499958374034</v>
      </c>
      <c r="D79" s="91"/>
    </row>
    <row r="80" spans="1:4" ht="15">
      <c r="A80" s="4">
        <v>1858</v>
      </c>
      <c r="B80" s="109"/>
      <c r="C80" s="109">
        <f>Pm!B83/Pm!B$135*100</f>
        <v>129.03973844185711</v>
      </c>
      <c r="D80" s="91"/>
    </row>
    <row r="81" spans="1:4" ht="15">
      <c r="A81" s="4">
        <v>1859</v>
      </c>
      <c r="B81" s="109"/>
      <c r="C81" s="109">
        <f>Pm!B84/Pm!B$135*100</f>
        <v>130.66859186359818</v>
      </c>
      <c r="D81" s="91"/>
    </row>
    <row r="82" spans="1:4" ht="15">
      <c r="A82" s="4">
        <v>1860</v>
      </c>
      <c r="B82" s="109"/>
      <c r="C82" s="109">
        <f>Pm!B85/Pm!B$135*100</f>
        <v>131.07360927286578</v>
      </c>
      <c r="D82" s="91"/>
    </row>
    <row r="83" spans="1:4" ht="15">
      <c r="A83" s="4">
        <v>1861</v>
      </c>
      <c r="B83" s="109"/>
      <c r="C83" s="109">
        <f>Pm!B86/Pm!B$135*100</f>
        <v>127.98810173225191</v>
      </c>
      <c r="D83" s="91"/>
    </row>
    <row r="84" spans="1:4" ht="15">
      <c r="A84" s="4">
        <v>1862</v>
      </c>
      <c r="B84" s="109"/>
      <c r="C84" s="109">
        <f>Pm!B87/Pm!B$135*100</f>
        <v>137.64022778325651</v>
      </c>
      <c r="D84" s="91"/>
    </row>
    <row r="85" spans="1:4" ht="15">
      <c r="A85" s="4">
        <v>1863</v>
      </c>
      <c r="B85" s="109"/>
      <c r="C85" s="109">
        <f>Pm!B88/Pm!B$135*100</f>
        <v>139.78420920241464</v>
      </c>
      <c r="D85" s="91"/>
    </row>
    <row r="86" spans="1:4" ht="15">
      <c r="A86" s="4">
        <v>1864</v>
      </c>
      <c r="B86" s="109">
        <f>Px!B89/Px!B$138*100</f>
        <v>70.3033454102641</v>
      </c>
      <c r="C86" s="109">
        <f>Pm!B89/Pm!B$135*100</f>
        <v>140.20793032647913</v>
      </c>
      <c r="D86" s="91">
        <f t="shared" ref="D86:D149" si="3">B86/C86*100</f>
        <v>50.142203259516258</v>
      </c>
    </row>
    <row r="87" spans="1:4" ht="15">
      <c r="A87" s="4">
        <v>1865</v>
      </c>
      <c r="B87" s="109">
        <f>Px!B90/Px!B$138*100</f>
        <v>65.276017499388246</v>
      </c>
      <c r="C87" s="109">
        <f>Pm!B90/Pm!B$135*100</f>
        <v>133.64101271062717</v>
      </c>
      <c r="D87" s="91">
        <f t="shared" si="3"/>
        <v>48.844300245412228</v>
      </c>
    </row>
    <row r="88" spans="1:4" ht="15">
      <c r="A88" s="4">
        <v>1866</v>
      </c>
      <c r="B88" s="109">
        <f>Px!B91/Px!B$138*100</f>
        <v>68.412524753879751</v>
      </c>
      <c r="C88" s="109">
        <f>Pm!B91/Pm!B$135*100</f>
        <v>135.4284151109008</v>
      </c>
      <c r="D88" s="91">
        <f t="shared" si="3"/>
        <v>50.515635657300948</v>
      </c>
    </row>
    <row r="89" spans="1:4" ht="15">
      <c r="A89" s="4">
        <v>1867</v>
      </c>
      <c r="B89" s="109">
        <f>Px!B92/Px!B$138*100</f>
        <v>63.366329676708169</v>
      </c>
      <c r="C89" s="109">
        <f>Pm!B92/Pm!B$135*100</f>
        <v>130.3937223416834</v>
      </c>
      <c r="D89" s="91">
        <f t="shared" si="3"/>
        <v>48.596150595857054</v>
      </c>
    </row>
    <row r="90" spans="1:4" ht="15">
      <c r="A90" s="4">
        <v>1868</v>
      </c>
      <c r="B90" s="109">
        <f>Px!B93/Px!B$138*100</f>
        <v>61.703124829479073</v>
      </c>
      <c r="C90" s="109">
        <f>Pm!B93/Pm!B$135*100</f>
        <v>124.76222893410056</v>
      </c>
      <c r="D90" s="91">
        <f t="shared" si="3"/>
        <v>49.45657460325647</v>
      </c>
    </row>
    <row r="91" spans="1:4" ht="15">
      <c r="A91" s="4">
        <v>1869</v>
      </c>
      <c r="B91" s="109">
        <f>Px!B94/Px!B$138*100</f>
        <v>59.154679515216948</v>
      </c>
      <c r="C91" s="109">
        <f>Pm!B94/Pm!B$135*100</f>
        <v>122.17875249632186</v>
      </c>
      <c r="D91" s="91">
        <f t="shared" si="3"/>
        <v>48.416503120702409</v>
      </c>
    </row>
    <row r="92" spans="1:4" ht="15">
      <c r="A92" s="4">
        <v>1870</v>
      </c>
      <c r="B92" s="109">
        <f>Px!B95/Px!B$138*100</f>
        <v>65.838493478744596</v>
      </c>
      <c r="C92" s="109">
        <f>Pm!B95/Pm!B$135*100</f>
        <v>123.7237562381934</v>
      </c>
      <c r="D92" s="91">
        <f t="shared" si="3"/>
        <v>53.214108171750055</v>
      </c>
    </row>
    <row r="93" spans="1:4" ht="15">
      <c r="A93" s="4">
        <v>1871</v>
      </c>
      <c r="B93" s="109">
        <f>Px!B96/Px!B$138*100</f>
        <v>75.074308743556557</v>
      </c>
      <c r="C93" s="109">
        <f>Pm!B96/Pm!B$135*100</f>
        <v>123.80890532821257</v>
      </c>
      <c r="D93" s="91">
        <f t="shared" si="3"/>
        <v>60.637244586354669</v>
      </c>
    </row>
    <row r="94" spans="1:4" ht="15">
      <c r="A94" s="4">
        <v>1872</v>
      </c>
      <c r="B94" s="109">
        <f>Px!B97/Px!B$138*100</f>
        <v>90.064944975702758</v>
      </c>
      <c r="C94" s="109">
        <f>Pm!B97/Pm!B$135*100</f>
        <v>132.02869617735459</v>
      </c>
      <c r="D94" s="91">
        <f t="shared" si="3"/>
        <v>68.21618904326543</v>
      </c>
    </row>
    <row r="95" spans="1:4" ht="15">
      <c r="A95" s="4">
        <v>1873</v>
      </c>
      <c r="B95" s="109">
        <f>Px!B98/Px!B$138*100</f>
        <v>82.527924476212718</v>
      </c>
      <c r="C95" s="109">
        <f>Pm!B98/Pm!B$135*100</f>
        <v>135.48143600345063</v>
      </c>
      <c r="D95" s="91">
        <f t="shared" si="3"/>
        <v>60.914562843953604</v>
      </c>
    </row>
    <row r="96" spans="1:4" ht="15">
      <c r="A96" s="4">
        <v>1874</v>
      </c>
      <c r="B96" s="109">
        <f>Px!B99/Px!B$138*100</f>
        <v>85.124346566299721</v>
      </c>
      <c r="C96" s="109">
        <f>Pm!B99/Pm!B$135*100</f>
        <v>130.50293761993768</v>
      </c>
      <c r="D96" s="91">
        <f t="shared" si="3"/>
        <v>65.227916029144453</v>
      </c>
    </row>
    <row r="97" spans="1:4" ht="15">
      <c r="A97" s="4">
        <v>1875</v>
      </c>
      <c r="B97" s="109">
        <f>Px!B100/Px!B$138*100</f>
        <v>85.285183784032711</v>
      </c>
      <c r="C97" s="109">
        <f>Pm!B100/Pm!B$135*100</f>
        <v>124.66027896139234</v>
      </c>
      <c r="D97" s="91">
        <f t="shared" si="3"/>
        <v>68.414080647489797</v>
      </c>
    </row>
    <row r="98" spans="1:4" ht="15">
      <c r="A98" s="4">
        <v>1876</v>
      </c>
      <c r="B98" s="109">
        <f>Px!B101/Px!B$138*100</f>
        <v>72.278433115094103</v>
      </c>
      <c r="C98" s="109">
        <f>Pm!B101/Pm!B$135*100</f>
        <v>120.42087802816343</v>
      </c>
      <c r="D98" s="91">
        <f t="shared" si="3"/>
        <v>60.02151312847095</v>
      </c>
    </row>
    <row r="99" spans="1:4" ht="15">
      <c r="A99" s="4">
        <v>1877</v>
      </c>
      <c r="B99" s="109">
        <f>Px!B102/Px!B$138*100</f>
        <v>80.822831226447249</v>
      </c>
      <c r="C99" s="109">
        <f>Pm!B102/Pm!B$135*100</f>
        <v>116.38984691291006</v>
      </c>
      <c r="D99" s="91">
        <f t="shared" si="3"/>
        <v>69.441479106784797</v>
      </c>
    </row>
    <row r="100" spans="1:4" ht="15">
      <c r="A100" s="4">
        <v>1878</v>
      </c>
      <c r="B100" s="109">
        <f>Px!B103/Px!B$138*100</f>
        <v>76.992745454110278</v>
      </c>
      <c r="C100" s="109">
        <f>Pm!B103/Pm!B$135*100</f>
        <v>111.29051538071867</v>
      </c>
      <c r="D100" s="91">
        <f t="shared" si="3"/>
        <v>69.181767368694778</v>
      </c>
    </row>
    <row r="101" spans="1:4" ht="15">
      <c r="A101" s="4">
        <v>1879</v>
      </c>
      <c r="B101" s="109">
        <f>Px!B104/Px!B$138*100</f>
        <v>84.508086744666272</v>
      </c>
      <c r="C101" s="109">
        <f>Pm!B104/Pm!B$135*100</f>
        <v>107.92441655175833</v>
      </c>
      <c r="D101" s="91">
        <f t="shared" si="3"/>
        <v>78.303028586805411</v>
      </c>
    </row>
    <row r="102" spans="1:4" ht="15">
      <c r="A102" s="4">
        <v>1880</v>
      </c>
      <c r="B102" s="109">
        <f>Px!B105/Px!B$138*100</f>
        <v>80.384236871584122</v>
      </c>
      <c r="C102" s="109">
        <f>Pm!B105/Pm!B$135*100</f>
        <v>113.34928650651854</v>
      </c>
      <c r="D102" s="91">
        <f t="shared" si="3"/>
        <v>70.917285277275525</v>
      </c>
    </row>
    <row r="103" spans="1:4" ht="15">
      <c r="A103" s="4">
        <v>1881</v>
      </c>
      <c r="B103" s="109">
        <f>Px!B106/Px!B$138*100</f>
        <v>77.939678677945736</v>
      </c>
      <c r="C103" s="109">
        <f>Pm!B106/Pm!B$135*100</f>
        <v>110.1177241744103</v>
      </c>
      <c r="D103" s="91">
        <f t="shared" si="3"/>
        <v>70.778504788657585</v>
      </c>
    </row>
    <row r="104" spans="1:4" ht="15">
      <c r="A104" s="4">
        <v>1882</v>
      </c>
      <c r="B104" s="109">
        <f>Px!B107/Px!B$138*100</f>
        <v>78.620189448708203</v>
      </c>
      <c r="C104" s="109">
        <f>Pm!B107/Pm!B$135*100</f>
        <v>109.5299317071635</v>
      </c>
      <c r="D104" s="91">
        <f t="shared" si="3"/>
        <v>71.779638883465381</v>
      </c>
    </row>
    <row r="105" spans="1:4" ht="15">
      <c r="A105" s="4">
        <v>1883</v>
      </c>
      <c r="B105" s="109">
        <f>Px!B108/Px!B$138*100</f>
        <v>74.626907278551599</v>
      </c>
      <c r="C105" s="109">
        <f>Pm!B108/Pm!B$135*100</f>
        <v>104.37258991031926</v>
      </c>
      <c r="D105" s="91">
        <f t="shared" si="3"/>
        <v>71.500484315540859</v>
      </c>
    </row>
    <row r="106" spans="1:4" ht="15">
      <c r="A106" s="4">
        <v>1884</v>
      </c>
      <c r="B106" s="109">
        <f>Px!B109/Px!B$138*100</f>
        <v>66.313727993370875</v>
      </c>
      <c r="C106" s="109">
        <f>Pm!B109/Pm!B$135*100</f>
        <v>101.68064959454092</v>
      </c>
      <c r="D106" s="91">
        <f t="shared" si="3"/>
        <v>65.217647859058474</v>
      </c>
    </row>
    <row r="107" spans="1:4" ht="15">
      <c r="A107" s="4">
        <v>1885</v>
      </c>
      <c r="B107" s="109">
        <f>Px!B110/Px!B$138*100</f>
        <v>55.174082004712432</v>
      </c>
      <c r="C107" s="109">
        <f>Pm!B110/Pm!B$135*100</f>
        <v>96.915645419723091</v>
      </c>
      <c r="D107" s="91">
        <f t="shared" si="3"/>
        <v>56.930005228530497</v>
      </c>
    </row>
    <row r="108" spans="1:4" ht="15">
      <c r="A108" s="4">
        <v>1886</v>
      </c>
      <c r="B108" s="109">
        <f>Px!B111/Px!B$138*100</f>
        <v>61.126319891668516</v>
      </c>
      <c r="C108" s="109">
        <f>Pm!B111/Pm!B$135*100</f>
        <v>93.000234825098872</v>
      </c>
      <c r="D108" s="91">
        <f t="shared" si="3"/>
        <v>65.727059729070461</v>
      </c>
    </row>
    <row r="109" spans="1:4" ht="15">
      <c r="A109" s="4">
        <v>1887</v>
      </c>
      <c r="B109" s="109">
        <f>Px!B112/Px!B$138*100</f>
        <v>60.617370548169205</v>
      </c>
      <c r="C109" s="109">
        <f>Pm!B112/Pm!B$135*100</f>
        <v>94.311283944426975</v>
      </c>
      <c r="D109" s="91">
        <f t="shared" si="3"/>
        <v>64.27371997595543</v>
      </c>
    </row>
    <row r="110" spans="1:4" ht="15">
      <c r="A110" s="4">
        <v>1888</v>
      </c>
      <c r="B110" s="109">
        <f>Px!B113/Px!B$138*100</f>
        <v>53.965781911984145</v>
      </c>
      <c r="C110" s="109">
        <f>Pm!B113/Pm!B$135*100</f>
        <v>96.082690020344401</v>
      </c>
      <c r="D110" s="91">
        <f t="shared" si="3"/>
        <v>56.165977347800641</v>
      </c>
    </row>
    <row r="111" spans="1:4" ht="15">
      <c r="A111" s="4">
        <v>1889</v>
      </c>
      <c r="B111" s="109">
        <f>Px!B114/Px!B$138*100</f>
        <v>53.095493651253101</v>
      </c>
      <c r="C111" s="109">
        <f>Pm!B114/Pm!B$135*100</f>
        <v>97.913647043885604</v>
      </c>
      <c r="D111" s="91">
        <f t="shared" si="3"/>
        <v>54.226857291359309</v>
      </c>
    </row>
    <row r="112" spans="1:4" ht="15">
      <c r="A112" s="4">
        <v>1890</v>
      </c>
      <c r="B112" s="109">
        <f>Px!B115/Px!B$138*100</f>
        <v>50.434709762730868</v>
      </c>
      <c r="C112" s="109">
        <f>Pm!B115/Pm!B$135*100</f>
        <v>97.913647043885604</v>
      </c>
      <c r="D112" s="91">
        <f t="shared" si="3"/>
        <v>51.509377176120985</v>
      </c>
    </row>
    <row r="113" spans="1:4" ht="15">
      <c r="A113" s="4">
        <v>1891</v>
      </c>
      <c r="B113" s="109">
        <f>Px!B116/Px!B$138*100</f>
        <v>51.246688722129498</v>
      </c>
      <c r="C113" s="109">
        <f>Pm!B116/Pm!B$135*100</f>
        <v>96.316647099799596</v>
      </c>
      <c r="D113" s="91">
        <f t="shared" si="3"/>
        <v>53.206470807719931</v>
      </c>
    </row>
    <row r="114" spans="1:4" ht="15">
      <c r="A114" s="4">
        <v>1892</v>
      </c>
      <c r="B114" s="109">
        <f>Px!B117/Px!B$138*100</f>
        <v>48.490995947985574</v>
      </c>
      <c r="C114" s="109">
        <f>Pm!B117/Pm!B$135*100</f>
        <v>91.997712968398261</v>
      </c>
      <c r="D114" s="91">
        <f t="shared" si="3"/>
        <v>52.708914584259837</v>
      </c>
    </row>
    <row r="115" spans="1:4" ht="15">
      <c r="A115" s="4">
        <v>1893</v>
      </c>
      <c r="B115" s="109">
        <f>Px!B118/Px!B$138*100</f>
        <v>49.624622086248685</v>
      </c>
      <c r="C115" s="109">
        <f>Pm!B118/Pm!B$135*100</f>
        <v>91.919760828205497</v>
      </c>
      <c r="D115" s="91">
        <f t="shared" si="3"/>
        <v>53.98689208841089</v>
      </c>
    </row>
    <row r="116" spans="1:4" ht="15">
      <c r="A116" s="4">
        <v>1894</v>
      </c>
      <c r="B116" s="109">
        <f>Px!B119/Px!B$138*100</f>
        <v>46.188180245149816</v>
      </c>
      <c r="C116" s="109">
        <f>Pm!B119/Pm!B$135*100</f>
        <v>85.655725921150349</v>
      </c>
      <c r="D116" s="91">
        <f t="shared" si="3"/>
        <v>53.923050383891379</v>
      </c>
    </row>
    <row r="117" spans="1:4" ht="15">
      <c r="A117" s="4">
        <v>1895</v>
      </c>
      <c r="B117" s="109">
        <f>Px!B120/Px!B$138*100</f>
        <v>49.149279961257278</v>
      </c>
      <c r="C117" s="109">
        <f>Pm!B120/Pm!B$135*100</f>
        <v>84.426541177248893</v>
      </c>
      <c r="D117" s="91">
        <f t="shared" si="3"/>
        <v>58.215437084022028</v>
      </c>
    </row>
    <row r="118" spans="1:4" ht="15">
      <c r="A118" s="4">
        <v>1896</v>
      </c>
      <c r="B118" s="109">
        <f>Px!B121/Px!B$138*100</f>
        <v>51.246510617557718</v>
      </c>
      <c r="C118" s="109">
        <f>Pm!B121/Pm!B$135*100</f>
        <v>83.632286981990518</v>
      </c>
      <c r="D118" s="91">
        <f t="shared" si="3"/>
        <v>61.275988576748119</v>
      </c>
    </row>
    <row r="119" spans="1:4" ht="15">
      <c r="A119" s="4">
        <v>1897</v>
      </c>
      <c r="B119" s="109">
        <f>Px!B122/Px!B$138*100</f>
        <v>56.567205231618843</v>
      </c>
      <c r="C119" s="109">
        <f>Pm!B122/Pm!B$135*100</f>
        <v>82.225329016753136</v>
      </c>
      <c r="D119" s="91">
        <f t="shared" si="3"/>
        <v>68.795352853004047</v>
      </c>
    </row>
    <row r="120" spans="1:4" ht="15">
      <c r="A120" s="4">
        <v>1898</v>
      </c>
      <c r="B120" s="109">
        <f>Px!B123/Px!B$138*100</f>
        <v>62.473322649178961</v>
      </c>
      <c r="C120" s="109">
        <f>Pm!B123/Pm!B$135*100</f>
        <v>82.415237050163967</v>
      </c>
      <c r="D120" s="91">
        <f t="shared" si="3"/>
        <v>75.803121953229478</v>
      </c>
    </row>
    <row r="121" spans="1:4" ht="15">
      <c r="A121" s="4">
        <v>1899</v>
      </c>
      <c r="B121" s="109">
        <f>Px!B124/Px!B$138*100</f>
        <v>61.27020976780009</v>
      </c>
      <c r="C121" s="109">
        <f>Pm!B124/Pm!B$135*100</f>
        <v>86.327652157671267</v>
      </c>
      <c r="D121" s="91">
        <f t="shared" si="3"/>
        <v>70.974025397904299</v>
      </c>
    </row>
    <row r="122" spans="1:4" ht="15">
      <c r="A122" s="4">
        <v>1900</v>
      </c>
      <c r="B122" s="109">
        <f>Px!B125/Px!B$138*100</f>
        <v>69.668083616816574</v>
      </c>
      <c r="C122" s="109">
        <f>Pm!B125/Pm!B$135*100</f>
        <v>95.036198111007153</v>
      </c>
      <c r="D122" s="91">
        <f t="shared" si="3"/>
        <v>73.306892533138452</v>
      </c>
    </row>
    <row r="123" spans="1:4" ht="15">
      <c r="A123" s="4">
        <v>1901</v>
      </c>
      <c r="B123" s="109">
        <f>Px!B126/Px!B$138*100</f>
        <v>68.222703527135081</v>
      </c>
      <c r="C123" s="109">
        <f>Pm!B126/Pm!B$135*100</f>
        <v>90.39359291003322</v>
      </c>
      <c r="D123" s="91">
        <f t="shared" si="3"/>
        <v>75.472941533628003</v>
      </c>
    </row>
    <row r="124" spans="1:4" ht="15">
      <c r="A124" s="4">
        <v>1902</v>
      </c>
      <c r="B124" s="109">
        <f>Px!B127/Px!B$138*100</f>
        <v>72.479828624560483</v>
      </c>
      <c r="C124" s="109">
        <f>Pm!B127/Pm!B$135*100</f>
        <v>88.583258873632417</v>
      </c>
      <c r="D124" s="91">
        <f t="shared" si="3"/>
        <v>81.821135896519536</v>
      </c>
    </row>
    <row r="125" spans="1:4" ht="15">
      <c r="A125" s="4">
        <v>1903</v>
      </c>
      <c r="B125" s="109">
        <f>Px!B128/Px!B$138*100</f>
        <v>69.08242192768796</v>
      </c>
      <c r="C125" s="109">
        <f>Pm!B128/Pm!B$135*100</f>
        <v>89.996916067238914</v>
      </c>
      <c r="D125" s="91">
        <f t="shared" si="3"/>
        <v>76.760876868352668</v>
      </c>
    </row>
    <row r="126" spans="1:4" ht="15">
      <c r="A126" s="4">
        <v>1904</v>
      </c>
      <c r="B126" s="109">
        <f>Px!B129/Px!B$138*100</f>
        <v>70.869298402280094</v>
      </c>
      <c r="C126" s="109">
        <f>Pm!B129/Pm!B$135*100</f>
        <v>91.046581866340958</v>
      </c>
      <c r="D126" s="91">
        <f t="shared" si="3"/>
        <v>77.83850524593916</v>
      </c>
    </row>
    <row r="127" spans="1:4" ht="15">
      <c r="A127" s="4">
        <v>1905</v>
      </c>
      <c r="B127" s="109">
        <f>Px!B130/Px!B$138*100</f>
        <v>80.025231814823329</v>
      </c>
      <c r="C127" s="109">
        <f>Pm!B130/Pm!B$135*100</f>
        <v>91.532637135919686</v>
      </c>
      <c r="D127" s="91">
        <f t="shared" si="3"/>
        <v>87.428085018452322</v>
      </c>
    </row>
    <row r="128" spans="1:4" ht="15">
      <c r="A128" s="4">
        <v>1906</v>
      </c>
      <c r="B128" s="109">
        <f>Px!B131/Px!B$138*100</f>
        <v>86.107833319682427</v>
      </c>
      <c r="C128" s="109">
        <f>Pm!B131/Pm!B$135*100</f>
        <v>95.559929437767423</v>
      </c>
      <c r="D128" s="91">
        <f t="shared" si="3"/>
        <v>90.10872425953329</v>
      </c>
    </row>
    <row r="129" spans="1:4" ht="15">
      <c r="A129" s="4">
        <v>1907</v>
      </c>
      <c r="B129" s="109">
        <f>Px!B132/Px!B$138*100</f>
        <v>89.152637824804941</v>
      </c>
      <c r="C129" s="109">
        <f>Pm!B132/Pm!B$135*100</f>
        <v>99.519173734692728</v>
      </c>
      <c r="D129" s="91">
        <f t="shared" si="3"/>
        <v>89.583378236716641</v>
      </c>
    </row>
    <row r="130" spans="1:4" ht="15">
      <c r="A130" s="4">
        <v>1908</v>
      </c>
      <c r="B130" s="109">
        <f>Px!B133/Px!B$138*100</f>
        <v>80.532580384012803</v>
      </c>
      <c r="C130" s="109">
        <f>Pm!B133/Pm!B$135*100</f>
        <v>95.720467497665567</v>
      </c>
      <c r="D130" s="91">
        <f t="shared" si="3"/>
        <v>84.133083016938699</v>
      </c>
    </row>
    <row r="131" spans="1:4" ht="15">
      <c r="A131" s="4">
        <v>1909</v>
      </c>
      <c r="B131" s="109">
        <f>Px!B134/Px!B$138*100</f>
        <v>93.083721765732164</v>
      </c>
      <c r="C131" s="109">
        <f>Pm!B134/Pm!B$135*100</f>
        <v>94.958800703506668</v>
      </c>
      <c r="D131" s="91">
        <f t="shared" si="3"/>
        <v>98.025376348602876</v>
      </c>
    </row>
    <row r="132" spans="1:4" ht="15">
      <c r="A132" s="4">
        <v>1910</v>
      </c>
      <c r="B132" s="109">
        <f>Px!B135/Px!B$138*100</f>
        <v>99.921953326448218</v>
      </c>
      <c r="C132" s="109">
        <f>Pm!B135/Pm!B$135*100</f>
        <v>100</v>
      </c>
      <c r="D132" s="91">
        <f t="shared" si="3"/>
        <v>99.921953326448218</v>
      </c>
    </row>
    <row r="133" spans="1:4" ht="15">
      <c r="A133" s="4">
        <v>1911</v>
      </c>
      <c r="B133" s="109">
        <f>Px!B136/Px!B$138*100</f>
        <v>98.388941628553795</v>
      </c>
      <c r="C133" s="109">
        <f>Pm!B136/Pm!B$135*100</f>
        <v>96.649633084953138</v>
      </c>
      <c r="D133" s="91">
        <f t="shared" si="3"/>
        <v>101.79960180715</v>
      </c>
    </row>
    <row r="134" spans="1:4" ht="15">
      <c r="A134" s="4">
        <v>1912</v>
      </c>
      <c r="B134" s="109">
        <f>Px!B137/Px!B$138*100</f>
        <v>98.424493104031527</v>
      </c>
      <c r="C134" s="109">
        <f>Pm!B137/Pm!B$135*100</f>
        <v>98.373527018216194</v>
      </c>
      <c r="D134" s="91">
        <f t="shared" si="3"/>
        <v>100.05180874098973</v>
      </c>
    </row>
    <row r="135" spans="1:4" ht="15">
      <c r="A135" s="4">
        <v>1913</v>
      </c>
      <c r="B135" s="109">
        <f>Px!B138/Px!B$138*100</f>
        <v>100</v>
      </c>
      <c r="C135" s="109">
        <f>Pm!B138/Pm!B$135*100</f>
        <v>100</v>
      </c>
      <c r="D135" s="91">
        <f t="shared" si="3"/>
        <v>100</v>
      </c>
    </row>
    <row r="136" spans="1:4" ht="15">
      <c r="A136" s="4">
        <v>1914</v>
      </c>
      <c r="B136" s="109">
        <f>Px!B139/Px!B$138*100</f>
        <v>103.6092242575837</v>
      </c>
      <c r="C136" s="109">
        <f>Pm!B139/Pm!B$135*100</f>
        <v>98.106473962834357</v>
      </c>
      <c r="D136" s="91">
        <f t="shared" si="3"/>
        <v>105.60895736282801</v>
      </c>
    </row>
    <row r="137" spans="1:4" ht="15">
      <c r="A137" s="4">
        <v>1915</v>
      </c>
      <c r="B137" s="109">
        <f>Px!B140/Px!B$138*100</f>
        <v>117.66646906675129</v>
      </c>
      <c r="C137" s="109">
        <f>Pm!B140/Pm!B$135*100</f>
        <v>115.00734314975858</v>
      </c>
      <c r="D137" s="91">
        <f t="shared" si="3"/>
        <v>102.31213576817446</v>
      </c>
    </row>
    <row r="138" spans="1:4" ht="15">
      <c r="A138" s="4">
        <v>1916</v>
      </c>
      <c r="B138" s="109">
        <f>Px!B141/Px!B$138*100</f>
        <v>127.83119899921425</v>
      </c>
      <c r="C138" s="109">
        <f>Pm!B141/Pm!B$135*100</f>
        <v>142.43254254472149</v>
      </c>
      <c r="D138" s="91">
        <f t="shared" si="3"/>
        <v>89.748590255683553</v>
      </c>
    </row>
    <row r="139" spans="1:4" ht="15">
      <c r="A139" s="4">
        <v>1917</v>
      </c>
      <c r="B139" s="109">
        <f>Px!B142/Px!B$138*100</f>
        <v>174.7963160020881</v>
      </c>
      <c r="C139" s="109">
        <f>Pm!B142/Pm!B$135*100</f>
        <v>187.21479597174749</v>
      </c>
      <c r="D139" s="91">
        <f t="shared" si="3"/>
        <v>93.366720880579621</v>
      </c>
    </row>
    <row r="140" spans="1:4" ht="15">
      <c r="A140" s="4">
        <v>1918</v>
      </c>
      <c r="B140" s="109">
        <f>Px!B143/Px!B$138*100</f>
        <v>160.43561054241965</v>
      </c>
      <c r="C140" s="109">
        <f>Pm!B143/Pm!B$135*100</f>
        <v>221.7864879724039</v>
      </c>
      <c r="D140" s="91">
        <f t="shared" si="3"/>
        <v>72.337865128367099</v>
      </c>
    </row>
    <row r="141" spans="1:4" ht="15">
      <c r="A141" s="4">
        <v>1919</v>
      </c>
      <c r="B141" s="109">
        <f>Px!B144/Px!B$138*100</f>
        <v>194.49943654123012</v>
      </c>
      <c r="C141" s="109">
        <f>Pm!B144/Pm!B$135*100</f>
        <v>251.6173861701713</v>
      </c>
      <c r="D141" s="91">
        <f t="shared" si="3"/>
        <v>77.299680877253948</v>
      </c>
    </row>
    <row r="142" spans="1:4" ht="15">
      <c r="A142" s="4">
        <v>1920</v>
      </c>
      <c r="B142" s="109">
        <f>Px!B145/Px!B$138*100</f>
        <v>194.90598961249569</v>
      </c>
      <c r="C142" s="109">
        <f>Pm!B145/Pm!B$135*100</f>
        <v>270.19592795652858</v>
      </c>
      <c r="D142" s="91">
        <f t="shared" si="3"/>
        <v>72.135058098971001</v>
      </c>
    </row>
    <row r="143" spans="1:4" ht="15">
      <c r="A143" s="4">
        <v>1921</v>
      </c>
      <c r="B143" s="109">
        <f>Px!B146/Px!B$138*100</f>
        <v>143.63268817686665</v>
      </c>
      <c r="C143" s="109">
        <f>Pm!B146/Pm!B$135*100</f>
        <v>188.35842238187567</v>
      </c>
      <c r="D143" s="91">
        <f t="shared" si="3"/>
        <v>76.25498576626822</v>
      </c>
    </row>
    <row r="144" spans="1:4" ht="15">
      <c r="A144" s="4">
        <v>1922</v>
      </c>
      <c r="B144" s="109">
        <f>Px!B147/Px!B$138*100</f>
        <v>109.0868255614557</v>
      </c>
      <c r="C144" s="109">
        <f>Pm!B147/Pm!B$135*100</f>
        <v>161.02114632520167</v>
      </c>
      <c r="D144" s="91">
        <f t="shared" si="3"/>
        <v>67.746894150872379</v>
      </c>
    </row>
    <row r="145" spans="1:4" ht="15">
      <c r="A145" s="4">
        <v>1923</v>
      </c>
      <c r="B145" s="109">
        <f>Px!B148/Px!B$138*100</f>
        <v>117.31747074656134</v>
      </c>
      <c r="C145" s="109">
        <f>Pm!B148/Pm!B$135*100</f>
        <v>153.35455451787738</v>
      </c>
      <c r="D145" s="91">
        <f t="shared" si="3"/>
        <v>76.500806327786634</v>
      </c>
    </row>
    <row r="146" spans="1:4" ht="15">
      <c r="A146" s="4">
        <v>1924</v>
      </c>
      <c r="B146" s="109">
        <f>Px!B149/Px!B$138*100</f>
        <v>125.25646422434124</v>
      </c>
      <c r="C146" s="109">
        <f>Pm!B149/Pm!B$135*100</f>
        <v>159.46025074670558</v>
      </c>
      <c r="D146" s="91">
        <f t="shared" si="3"/>
        <v>78.55027421429601</v>
      </c>
    </row>
    <row r="147" spans="1:4" ht="15">
      <c r="A147" s="4">
        <v>1925</v>
      </c>
      <c r="B147" s="109">
        <f>Px!B150/Px!B$138*100</f>
        <v>147.40091606560588</v>
      </c>
      <c r="C147" s="109">
        <f>Pm!B150/Pm!B$135*100</f>
        <v>154.7310035685116</v>
      </c>
      <c r="D147" s="91">
        <f t="shared" si="3"/>
        <v>95.262689872194812</v>
      </c>
    </row>
    <row r="148" spans="1:4" ht="15">
      <c r="A148" s="4">
        <v>1926</v>
      </c>
      <c r="B148" s="109">
        <f>Px!B151/Px!B$138*100</f>
        <v>119.48874602982291</v>
      </c>
      <c r="C148" s="109">
        <f>Pm!B151/Pm!B$135*100</f>
        <v>145.24964240054931</v>
      </c>
      <c r="D148" s="91">
        <f t="shared" si="3"/>
        <v>82.264399453950759</v>
      </c>
    </row>
    <row r="149" spans="1:4" ht="15">
      <c r="A149" s="4">
        <v>1927</v>
      </c>
      <c r="B149" s="109">
        <f>Px!B152/Px!B$138*100</f>
        <v>117.9127114429219</v>
      </c>
      <c r="C149" s="109">
        <f>Pm!B152/Pm!B$135*100</f>
        <v>140.93858620117641</v>
      </c>
      <c r="D149" s="91">
        <f t="shared" si="3"/>
        <v>83.662476416935775</v>
      </c>
    </row>
    <row r="150" spans="1:4" ht="15">
      <c r="A150" s="4">
        <v>1928</v>
      </c>
      <c r="B150" s="109">
        <f>Px!B153/Px!B$138*100</f>
        <v>138.16070745165996</v>
      </c>
      <c r="C150" s="109">
        <f>Pm!B153/Pm!B$135*100</f>
        <v>140.98618312480005</v>
      </c>
      <c r="D150" s="91">
        <f t="shared" ref="D150:D160" si="4">B150/C150*100</f>
        <v>97.995920160035126</v>
      </c>
    </row>
    <row r="151" spans="1:4" ht="15">
      <c r="A151" s="4">
        <v>1929</v>
      </c>
      <c r="B151" s="109">
        <f>Px!B154/Px!B$138*100</f>
        <v>133.49162340868867</v>
      </c>
      <c r="C151" s="109">
        <f>Pm!B154/Pm!B$135*100</f>
        <v>137.063665538154</v>
      </c>
      <c r="D151" s="91">
        <f t="shared" si="4"/>
        <v>97.393881073119999</v>
      </c>
    </row>
    <row r="152" spans="1:4" ht="15">
      <c r="A152" s="4">
        <v>1930</v>
      </c>
      <c r="B152" s="109">
        <f>Px!B155/Px!B$138*100</f>
        <v>98.790920446601532</v>
      </c>
      <c r="C152" s="109">
        <f>Pm!B155/Pm!B$135*100</f>
        <v>124.02950188401873</v>
      </c>
      <c r="D152" s="91">
        <f t="shared" si="4"/>
        <v>79.651146659431021</v>
      </c>
    </row>
    <row r="153" spans="1:4" ht="15">
      <c r="A153" s="4">
        <v>1931</v>
      </c>
      <c r="B153" s="109">
        <f>Px!B156/Px!B$138*100</f>
        <v>70.102418422339312</v>
      </c>
      <c r="C153" s="109">
        <f>Pm!B156/Pm!B$135*100</f>
        <v>107.96686872174584</v>
      </c>
      <c r="D153" s="91">
        <f t="shared" si="4"/>
        <v>64.929565201162347</v>
      </c>
    </row>
    <row r="154" spans="1:4" ht="15">
      <c r="A154" s="4">
        <v>1932</v>
      </c>
      <c r="B154" s="109">
        <f>Px!B157/Px!B$138*100</f>
        <v>63.690874509126601</v>
      </c>
      <c r="C154" s="109">
        <f>Pm!B157/Pm!B$135*100</f>
        <v>114.34093468919353</v>
      </c>
      <c r="D154" s="91">
        <f t="shared" si="4"/>
        <v>55.702600894643631</v>
      </c>
    </row>
    <row r="155" spans="1:4" ht="15">
      <c r="A155" s="4">
        <v>1933</v>
      </c>
      <c r="B155" s="109">
        <f>Px!B158/Px!B$138*100</f>
        <v>62.534429247679178</v>
      </c>
      <c r="C155" s="109">
        <f>Pm!B158/Pm!B$135*100</f>
        <v>106.54762648270841</v>
      </c>
      <c r="D155" s="91">
        <f t="shared" si="4"/>
        <v>58.691527265347275</v>
      </c>
    </row>
    <row r="156" spans="1:4" ht="15">
      <c r="A156" s="4">
        <v>1934</v>
      </c>
      <c r="B156" s="109">
        <f>Px!B159/Px!B$138*100</f>
        <v>74.888762235495648</v>
      </c>
      <c r="C156" s="109">
        <f>Pm!B159/Pm!B$135*100</f>
        <v>105.51974970405624</v>
      </c>
      <c r="D156" s="91">
        <f t="shared" si="4"/>
        <v>70.971322852386265</v>
      </c>
    </row>
    <row r="157" spans="1:4" ht="15">
      <c r="A157" s="4">
        <v>1935</v>
      </c>
      <c r="B157" s="109">
        <f>Px!B160/Px!B$138*100</f>
        <v>76.163785806598156</v>
      </c>
      <c r="C157" s="109">
        <f>Pm!B160/Pm!B$135*100</f>
        <v>106.78641862720551</v>
      </c>
      <c r="D157" s="91">
        <f t="shared" si="4"/>
        <v>71.323476136500233</v>
      </c>
    </row>
    <row r="158" spans="1:4" ht="15">
      <c r="A158" s="4">
        <v>1936</v>
      </c>
      <c r="B158" s="109">
        <f>Px!B161/Px!B$138*100</f>
        <v>90.240772117727914</v>
      </c>
      <c r="C158" s="109">
        <f>Pm!B161/Pm!B$135*100</f>
        <v>107.99883890107319</v>
      </c>
      <c r="D158" s="91">
        <f t="shared" si="4"/>
        <v>83.557168795479697</v>
      </c>
    </row>
    <row r="159" spans="1:4" ht="15">
      <c r="A159" s="4">
        <v>1937</v>
      </c>
      <c r="B159" s="109">
        <f>Px!B162/Px!B$138*100</f>
        <v>109.20143450206912</v>
      </c>
      <c r="C159" s="109">
        <f>Pm!B162/Pm!B$135*100</f>
        <v>114.50594846042044</v>
      </c>
      <c r="D159" s="91">
        <f t="shared" si="4"/>
        <v>95.367477384648836</v>
      </c>
    </row>
    <row r="160" spans="1:4" ht="15">
      <c r="A160" s="4">
        <v>1938</v>
      </c>
      <c r="B160" s="109">
        <f>Px!B163/Px!B$138*100</f>
        <v>95.775317029219963</v>
      </c>
      <c r="C160" s="109">
        <f>Pm!B163/Pm!B$135*100</f>
        <v>109.60883645140842</v>
      </c>
      <c r="D160" s="91">
        <f t="shared" si="4"/>
        <v>87.379193256630259</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163"/>
  <sheetViews>
    <sheetView workbookViewId="0">
      <pane xSplit="1" ySplit="4" topLeftCell="B5" activePane="bottomRight" state="frozen"/>
      <selection pane="topRight" activeCell="B1" sqref="B1"/>
      <selection pane="bottomLeft" activeCell="A4" sqref="A4"/>
      <selection pane="bottomRight" activeCell="G25" sqref="G25"/>
    </sheetView>
  </sheetViews>
  <sheetFormatPr baseColWidth="10" defaultRowHeight="15"/>
  <cols>
    <col min="1" max="14" width="10.7109375" style="4"/>
    <col min="15" max="36" width="10.7109375" style="59"/>
    <col min="37" max="40" width="10.7109375" style="4"/>
    <col min="43" max="43" width="10.7109375" style="4"/>
    <col min="77" max="16384" width="10.7109375" style="4"/>
  </cols>
  <sheetData>
    <row r="1" spans="1:76" s="14" customFormat="1">
      <c r="B1" s="80" t="s">
        <v>87</v>
      </c>
      <c r="C1" s="80"/>
      <c r="O1" s="81"/>
      <c r="P1" s="81"/>
      <c r="Q1" s="81"/>
      <c r="R1" s="81"/>
      <c r="S1" s="81"/>
      <c r="T1" s="81"/>
      <c r="U1" s="81"/>
      <c r="V1" s="81"/>
      <c r="W1" s="81"/>
      <c r="X1" s="81"/>
      <c r="Y1" s="81"/>
      <c r="Z1" s="81"/>
      <c r="AA1" s="81"/>
      <c r="AB1" s="81"/>
      <c r="AC1" s="81"/>
      <c r="AD1" s="81"/>
      <c r="AE1" s="81"/>
      <c r="AF1" s="81"/>
      <c r="AG1" s="81"/>
      <c r="AH1" s="81"/>
      <c r="AI1" s="81"/>
      <c r="AJ1" s="81"/>
      <c r="AO1" s="82"/>
      <c r="AP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row>
    <row r="2" spans="1:76" s="14" customFormat="1">
      <c r="D2" s="80" t="s">
        <v>88</v>
      </c>
      <c r="O2" s="80" t="s">
        <v>204</v>
      </c>
      <c r="P2" s="81"/>
      <c r="Q2" s="81"/>
      <c r="R2" s="81"/>
      <c r="S2" s="81"/>
      <c r="T2" s="81"/>
      <c r="U2" s="81"/>
      <c r="V2" s="81"/>
      <c r="W2" s="81"/>
      <c r="X2" s="81"/>
      <c r="Y2" s="81"/>
      <c r="Z2" s="81"/>
      <c r="AA2" s="81"/>
      <c r="AB2" s="81"/>
      <c r="AC2" s="81"/>
      <c r="AD2" s="81"/>
      <c r="AE2" s="81"/>
      <c r="AF2" s="81"/>
      <c r="AG2" s="81"/>
      <c r="AH2" s="81"/>
      <c r="AI2" s="81"/>
      <c r="AJ2" s="81"/>
      <c r="AO2" s="82"/>
      <c r="AP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row>
    <row r="3" spans="1:76" s="14" customFormat="1">
      <c r="D3" s="14" t="s">
        <v>91</v>
      </c>
      <c r="E3" s="14" t="s">
        <v>402</v>
      </c>
      <c r="F3" s="14" t="s">
        <v>403</v>
      </c>
      <c r="G3" s="14" t="s">
        <v>404</v>
      </c>
      <c r="H3" s="14" t="s">
        <v>332</v>
      </c>
      <c r="I3" s="14" t="s">
        <v>405</v>
      </c>
      <c r="J3" s="14" t="s">
        <v>333</v>
      </c>
      <c r="K3" s="14" t="s">
        <v>246</v>
      </c>
      <c r="L3" s="14" t="s">
        <v>247</v>
      </c>
      <c r="M3" s="14" t="s">
        <v>248</v>
      </c>
      <c r="O3" s="14" t="s">
        <v>91</v>
      </c>
      <c r="P3" s="81" t="s">
        <v>402</v>
      </c>
      <c r="Q3" s="81"/>
      <c r="R3" s="81"/>
      <c r="S3" s="81" t="s">
        <v>403</v>
      </c>
      <c r="T3" s="81"/>
      <c r="U3" s="81"/>
      <c r="V3" s="81" t="s">
        <v>404</v>
      </c>
      <c r="W3" s="81"/>
      <c r="X3" s="81" t="s">
        <v>332</v>
      </c>
      <c r="Y3" s="81" t="s">
        <v>405</v>
      </c>
      <c r="Z3" s="81"/>
      <c r="AA3" s="81"/>
      <c r="AB3" s="81"/>
      <c r="AC3" s="81"/>
      <c r="AD3" s="81" t="s">
        <v>333</v>
      </c>
      <c r="AE3" s="81"/>
      <c r="AF3" s="81"/>
      <c r="AG3" s="81" t="s">
        <v>246</v>
      </c>
      <c r="AH3" s="81"/>
      <c r="AI3" s="81"/>
      <c r="AJ3" s="81" t="s">
        <v>247</v>
      </c>
      <c r="AO3" s="82"/>
      <c r="AP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row>
    <row r="4" spans="1:76" s="14" customFormat="1">
      <c r="O4" s="81" t="s">
        <v>91</v>
      </c>
      <c r="P4" s="81" t="s">
        <v>205</v>
      </c>
      <c r="Q4" s="81" t="s">
        <v>206</v>
      </c>
      <c r="R4" s="81" t="s">
        <v>207</v>
      </c>
      <c r="S4" s="81" t="s">
        <v>205</v>
      </c>
      <c r="T4" s="81" t="s">
        <v>208</v>
      </c>
      <c r="U4" s="81" t="s">
        <v>209</v>
      </c>
      <c r="V4" s="81" t="s">
        <v>137</v>
      </c>
      <c r="W4" s="81" t="s">
        <v>139</v>
      </c>
      <c r="X4" s="81" t="s">
        <v>140</v>
      </c>
      <c r="Y4" s="81" t="s">
        <v>141</v>
      </c>
      <c r="Z4" s="81" t="s">
        <v>142</v>
      </c>
      <c r="AA4" s="81" t="s">
        <v>143</v>
      </c>
      <c r="AB4" s="81" t="s">
        <v>144</v>
      </c>
      <c r="AC4" s="81" t="s">
        <v>145</v>
      </c>
      <c r="AD4" s="81" t="s">
        <v>146</v>
      </c>
      <c r="AE4" s="81" t="s">
        <v>306</v>
      </c>
      <c r="AF4" s="81" t="s">
        <v>319</v>
      </c>
      <c r="AG4" s="81" t="s">
        <v>320</v>
      </c>
      <c r="AH4" s="81" t="s">
        <v>321</v>
      </c>
      <c r="AI4" s="81" t="s">
        <v>322</v>
      </c>
      <c r="AJ4" s="81" t="s">
        <v>323</v>
      </c>
      <c r="AK4" s="14" t="s">
        <v>324</v>
      </c>
      <c r="AL4" s="14" t="s">
        <v>325</v>
      </c>
      <c r="AM4" s="14" t="s">
        <v>326</v>
      </c>
      <c r="AO4" s="82"/>
      <c r="AP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row>
    <row r="5" spans="1:76">
      <c r="A5" s="4">
        <v>1780</v>
      </c>
      <c r="B5" s="56">
        <f t="shared" ref="B5:B21" si="0">(D5/D$35)*B$35</f>
        <v>15.536412370049778</v>
      </c>
      <c r="C5" s="75"/>
      <c r="D5" s="51">
        <f t="shared" ref="D5:D21" si="1">O5</f>
        <v>15.051499908364692</v>
      </c>
      <c r="O5" s="65">
        <f>'Px prices'!B4</f>
        <v>15.051499908364692</v>
      </c>
      <c r="P5" s="65"/>
    </row>
    <row r="6" spans="1:76">
      <c r="A6" s="4">
        <v>1781</v>
      </c>
      <c r="B6" s="56">
        <f t="shared" si="0"/>
        <v>15.42321014879146</v>
      </c>
      <c r="C6" s="75"/>
      <c r="D6" s="51">
        <f t="shared" si="1"/>
        <v>14.941830881673507</v>
      </c>
      <c r="O6" s="65">
        <f>'Px prices'!B5</f>
        <v>14.941830881673507</v>
      </c>
      <c r="P6" s="65"/>
    </row>
    <row r="7" spans="1:76">
      <c r="A7" s="4">
        <v>1782</v>
      </c>
      <c r="B7" s="56">
        <f t="shared" si="0"/>
        <v>15.897518838414959</v>
      </c>
      <c r="C7" s="75"/>
      <c r="D7" s="51">
        <f t="shared" si="1"/>
        <v>15.401335755022965</v>
      </c>
      <c r="O7" s="65">
        <f>'Px prices'!B6</f>
        <v>15.401335755022965</v>
      </c>
      <c r="P7" s="65"/>
    </row>
    <row r="8" spans="1:76">
      <c r="A8" s="4">
        <v>1783</v>
      </c>
      <c r="B8" s="56">
        <f t="shared" si="0"/>
        <v>18.11289454865306</v>
      </c>
      <c r="C8" s="75"/>
      <c r="D8" s="51">
        <f t="shared" si="1"/>
        <v>17.547566590394084</v>
      </c>
      <c r="O8" s="65">
        <f>'Px prices'!B7</f>
        <v>17.547566590394084</v>
      </c>
      <c r="P8" s="65"/>
    </row>
    <row r="9" spans="1:76">
      <c r="A9" s="4">
        <v>1784</v>
      </c>
      <c r="B9" s="56">
        <f t="shared" si="0"/>
        <v>21.003969805493615</v>
      </c>
      <c r="C9" s="75"/>
      <c r="D9" s="51">
        <f t="shared" si="1"/>
        <v>20.348407474824832</v>
      </c>
      <c r="O9" s="65">
        <f>'Px prices'!B8</f>
        <v>20.348407474824832</v>
      </c>
      <c r="P9" s="65"/>
    </row>
    <row r="10" spans="1:76">
      <c r="A10" s="4">
        <v>1785</v>
      </c>
      <c r="B10" s="56">
        <f t="shared" si="0"/>
        <v>15.377478593457418</v>
      </c>
      <c r="C10" s="75"/>
      <c r="D10" s="51">
        <f t="shared" si="1"/>
        <v>14.897526670088171</v>
      </c>
      <c r="O10" s="65">
        <f>'Px prices'!B9</f>
        <v>14.897526670088171</v>
      </c>
      <c r="P10" s="65"/>
    </row>
    <row r="11" spans="1:76">
      <c r="A11" s="4">
        <v>1786</v>
      </c>
      <c r="B11" s="56">
        <f t="shared" si="0"/>
        <v>14.244301954547693</v>
      </c>
      <c r="C11" s="75"/>
      <c r="D11" s="51">
        <f t="shared" si="1"/>
        <v>13.799718008058166</v>
      </c>
      <c r="O11" s="65">
        <f>'Px prices'!B10</f>
        <v>13.799718008058166</v>
      </c>
      <c r="P11" s="65"/>
    </row>
    <row r="12" spans="1:76">
      <c r="A12" s="4">
        <v>1787</v>
      </c>
      <c r="B12" s="56">
        <f t="shared" si="0"/>
        <v>18.594942806174554</v>
      </c>
      <c r="C12" s="75"/>
      <c r="D12" s="51">
        <f t="shared" si="1"/>
        <v>18.0145694692504</v>
      </c>
      <c r="O12" s="65">
        <f>'Px prices'!B11</f>
        <v>18.0145694692504</v>
      </c>
      <c r="P12" s="65"/>
    </row>
    <row r="13" spans="1:76">
      <c r="A13" s="4">
        <v>1788</v>
      </c>
      <c r="B13" s="56">
        <f t="shared" si="0"/>
        <v>18.838232714080601</v>
      </c>
      <c r="C13" s="75"/>
      <c r="D13" s="51">
        <f t="shared" si="1"/>
        <v>18.250265969789552</v>
      </c>
      <c r="O13" s="65">
        <f>'Px prices'!B12</f>
        <v>18.250265969789552</v>
      </c>
      <c r="P13" s="65"/>
    </row>
    <row r="14" spans="1:76">
      <c r="A14" s="4">
        <v>1789</v>
      </c>
      <c r="B14" s="56">
        <f t="shared" si="0"/>
        <v>17.492722546275107</v>
      </c>
      <c r="C14" s="75"/>
      <c r="D14" s="51">
        <f t="shared" si="1"/>
        <v>16.946750995736167</v>
      </c>
      <c r="O14" s="65">
        <f>'Px prices'!B13</f>
        <v>16.946750995736167</v>
      </c>
      <c r="P14" s="65"/>
    </row>
    <row r="15" spans="1:76">
      <c r="A15" s="4">
        <v>1790</v>
      </c>
      <c r="B15" s="56">
        <f t="shared" si="0"/>
        <v>8.8608353854441955</v>
      </c>
      <c r="C15" s="75"/>
      <c r="D15" s="51">
        <f t="shared" si="1"/>
        <v>8.5842767181662172</v>
      </c>
      <c r="O15" s="65">
        <f>'Px prices'!B14</f>
        <v>8.5842767181662172</v>
      </c>
      <c r="P15" s="65"/>
    </row>
    <row r="16" spans="1:76">
      <c r="A16" s="4">
        <v>1791</v>
      </c>
      <c r="B16" s="56">
        <f t="shared" si="0"/>
        <v>16.090112036850488</v>
      </c>
      <c r="C16" s="75"/>
      <c r="D16" s="51">
        <f t="shared" si="1"/>
        <v>15.587917859022225</v>
      </c>
      <c r="O16" s="65">
        <f>'Px prices'!B15</f>
        <v>15.587917859022225</v>
      </c>
      <c r="P16" s="65"/>
    </row>
    <row r="17" spans="1:16">
      <c r="A17" s="4">
        <v>1792</v>
      </c>
      <c r="B17" s="56">
        <f t="shared" si="0"/>
        <v>14.550918305805734</v>
      </c>
      <c r="C17" s="75"/>
      <c r="D17" s="51">
        <f t="shared" si="1"/>
        <v>14.096764447927395</v>
      </c>
      <c r="O17" s="65">
        <f>'Px prices'!B16</f>
        <v>14.096764447927395</v>
      </c>
      <c r="P17" s="65"/>
    </row>
    <row r="18" spans="1:16">
      <c r="A18" s="4">
        <v>1793</v>
      </c>
      <c r="B18" s="56">
        <f t="shared" si="0"/>
        <v>14.136579680387509</v>
      </c>
      <c r="C18" s="75"/>
      <c r="D18" s="51">
        <f t="shared" si="1"/>
        <v>13.695357891897988</v>
      </c>
      <c r="O18" s="65">
        <f>'Px prices'!B17</f>
        <v>13.695357891897988</v>
      </c>
      <c r="P18" s="65"/>
    </row>
    <row r="19" spans="1:16">
      <c r="A19" s="4">
        <v>1794</v>
      </c>
      <c r="B19" s="56">
        <f t="shared" si="0"/>
        <v>16.025091520451618</v>
      </c>
      <c r="C19" s="75"/>
      <c r="D19" s="51">
        <f t="shared" si="1"/>
        <v>15.524926720958328</v>
      </c>
      <c r="O19" s="65">
        <f>'Px prices'!B18</f>
        <v>15.524926720958328</v>
      </c>
      <c r="P19" s="65"/>
    </row>
    <row r="20" spans="1:16">
      <c r="A20" s="4">
        <v>1795</v>
      </c>
      <c r="B20" s="56">
        <f t="shared" si="0"/>
        <v>25.03477589369049</v>
      </c>
      <c r="C20" s="75"/>
      <c r="D20" s="51">
        <f t="shared" si="1"/>
        <v>24.253406648513526</v>
      </c>
      <c r="O20" s="65">
        <f>'Px prices'!B19</f>
        <v>24.253406648513526</v>
      </c>
      <c r="P20" s="65"/>
    </row>
    <row r="21" spans="1:16">
      <c r="A21" s="4">
        <v>1796</v>
      </c>
      <c r="B21" s="56">
        <f t="shared" si="0"/>
        <v>25.28283388653956</v>
      </c>
      <c r="C21" s="75"/>
      <c r="D21" s="51">
        <f t="shared" si="1"/>
        <v>24.493722415610076</v>
      </c>
      <c r="E21" s="51">
        <f>O21</f>
        <v>24.493722415610076</v>
      </c>
      <c r="O21" s="65">
        <f>'Px prices'!B20</f>
        <v>24.493722415610076</v>
      </c>
      <c r="P21" s="65"/>
    </row>
    <row r="22" spans="1:16">
      <c r="A22" s="4">
        <v>1797</v>
      </c>
      <c r="B22" s="56"/>
      <c r="C22" s="75"/>
      <c r="O22" s="65"/>
      <c r="P22" s="65"/>
    </row>
    <row r="23" spans="1:16">
      <c r="A23" s="4">
        <v>1798</v>
      </c>
      <c r="B23" s="56"/>
      <c r="C23" s="75"/>
      <c r="O23" s="65"/>
      <c r="P23" s="65"/>
    </row>
    <row r="24" spans="1:16">
      <c r="A24" s="4">
        <v>1799</v>
      </c>
      <c r="B24" s="56"/>
      <c r="C24" s="75"/>
      <c r="O24" s="65"/>
      <c r="P24" s="65"/>
    </row>
    <row r="25" spans="1:16">
      <c r="A25" s="4">
        <v>1800</v>
      </c>
      <c r="B25" s="56"/>
      <c r="C25" s="75"/>
      <c r="O25" s="65"/>
      <c r="P25" s="65"/>
    </row>
    <row r="26" spans="1:16">
      <c r="A26" s="4">
        <v>1801</v>
      </c>
      <c r="B26" s="56"/>
      <c r="C26" s="75"/>
      <c r="O26" s="65"/>
      <c r="P26" s="65"/>
    </row>
    <row r="27" spans="1:16">
      <c r="A27" s="4">
        <v>1802</v>
      </c>
      <c r="B27" s="56"/>
      <c r="C27" s="75"/>
      <c r="O27" s="65"/>
      <c r="P27" s="65"/>
    </row>
    <row r="28" spans="1:16">
      <c r="A28" s="4">
        <v>1803</v>
      </c>
      <c r="B28" s="56"/>
      <c r="C28" s="75"/>
      <c r="O28" s="65"/>
      <c r="P28" s="65"/>
    </row>
    <row r="29" spans="1:16">
      <c r="A29" s="4">
        <v>1804</v>
      </c>
      <c r="B29" s="56"/>
      <c r="C29" s="75"/>
      <c r="O29" s="65"/>
      <c r="P29" s="65"/>
    </row>
    <row r="30" spans="1:16">
      <c r="A30" s="4">
        <v>1805</v>
      </c>
      <c r="B30" s="56"/>
      <c r="C30" s="75"/>
      <c r="O30" s="65"/>
      <c r="P30" s="65"/>
    </row>
    <row r="31" spans="1:16">
      <c r="A31" s="4">
        <v>1806</v>
      </c>
      <c r="B31" s="56"/>
      <c r="C31" s="75"/>
      <c r="O31" s="65"/>
      <c r="P31" s="65"/>
    </row>
    <row r="32" spans="1:16">
      <c r="A32" s="4">
        <v>1807</v>
      </c>
      <c r="B32" s="56"/>
      <c r="C32" s="75"/>
      <c r="O32" s="65"/>
      <c r="P32" s="65"/>
    </row>
    <row r="33" spans="1:19">
      <c r="A33" s="4">
        <v>1808</v>
      </c>
      <c r="B33" s="56"/>
      <c r="C33" s="75"/>
      <c r="O33" s="65"/>
      <c r="P33" s="65"/>
    </row>
    <row r="34" spans="1:19">
      <c r="A34" s="4">
        <v>1809</v>
      </c>
      <c r="B34" s="56"/>
      <c r="C34" s="75"/>
      <c r="O34" s="65"/>
      <c r="P34" s="65"/>
    </row>
    <row r="35" spans="1:19">
      <c r="A35" s="4">
        <v>1810</v>
      </c>
      <c r="B35" s="56">
        <f t="shared" ref="B35:B46" si="2">(GEOMEAN(D35:E35)/GEOMEAN(D$47:E$47))*B$47</f>
        <v>23.90600710604436</v>
      </c>
      <c r="C35" s="75"/>
      <c r="D35" s="51">
        <f t="shared" ref="D35:D47" si="3">O35</f>
        <v>23.159868262742275</v>
      </c>
      <c r="E35" s="51">
        <f t="shared" ref="E35:E47" si="4">O35</f>
        <v>23.159868262742275</v>
      </c>
      <c r="O35" s="65">
        <f>'Px prices'!B34</f>
        <v>23.159868262742275</v>
      </c>
      <c r="P35" s="65"/>
    </row>
    <row r="36" spans="1:19">
      <c r="A36" s="4">
        <v>1811</v>
      </c>
      <c r="B36" s="56">
        <f t="shared" si="2"/>
        <v>24.222454114910029</v>
      </c>
      <c r="C36" s="75"/>
      <c r="D36" s="51">
        <f t="shared" si="3"/>
        <v>23.466438532087448</v>
      </c>
      <c r="E36" s="51">
        <f t="shared" si="4"/>
        <v>23.466438532087448</v>
      </c>
      <c r="O36" s="65">
        <f>'Px prices'!B35</f>
        <v>23.466438532087448</v>
      </c>
      <c r="P36" s="65"/>
    </row>
    <row r="37" spans="1:19">
      <c r="A37" s="4">
        <v>1812</v>
      </c>
      <c r="B37" s="56">
        <f t="shared" si="2"/>
        <v>43.573703469146622</v>
      </c>
      <c r="C37" s="75"/>
      <c r="D37" s="51">
        <f t="shared" si="3"/>
        <v>42.213709198223938</v>
      </c>
      <c r="E37" s="51">
        <f t="shared" si="4"/>
        <v>42.213709198223938</v>
      </c>
      <c r="O37" s="65">
        <f>'Px prices'!B36</f>
        <v>42.213709198223938</v>
      </c>
      <c r="P37" s="65"/>
    </row>
    <row r="38" spans="1:19">
      <c r="A38" s="4">
        <v>1813</v>
      </c>
      <c r="B38" s="56">
        <f t="shared" si="2"/>
        <v>47.13653375401492</v>
      </c>
      <c r="C38" s="75"/>
      <c r="D38" s="51">
        <f t="shared" si="3"/>
        <v>45.665338726903997</v>
      </c>
      <c r="E38" s="51">
        <f t="shared" si="4"/>
        <v>45.665338726903997</v>
      </c>
      <c r="O38" s="65">
        <f>'Px prices'!B37</f>
        <v>45.665338726903997</v>
      </c>
      <c r="P38" s="65"/>
    </row>
    <row r="39" spans="1:19">
      <c r="A39" s="4">
        <v>1814</v>
      </c>
      <c r="B39" s="56">
        <f t="shared" si="2"/>
        <v>43.372253900494051</v>
      </c>
      <c r="C39" s="75"/>
      <c r="D39" s="51">
        <f t="shared" si="3"/>
        <v>42.018547143310961</v>
      </c>
      <c r="E39" s="51">
        <f t="shared" si="4"/>
        <v>42.018547143310961</v>
      </c>
      <c r="F39" s="51"/>
      <c r="G39" s="51"/>
      <c r="H39" s="51"/>
      <c r="I39" s="51"/>
      <c r="J39" s="51"/>
      <c r="K39" s="51"/>
      <c r="L39" s="51"/>
      <c r="M39" s="51"/>
      <c r="N39" s="51"/>
      <c r="O39" s="65">
        <f>'Px prices'!B38</f>
        <v>42.018547143310961</v>
      </c>
      <c r="P39" s="65"/>
    </row>
    <row r="40" spans="1:19">
      <c r="A40" s="4">
        <v>1815</v>
      </c>
      <c r="B40" s="56">
        <f t="shared" si="2"/>
        <v>43.745914033012653</v>
      </c>
      <c r="C40" s="75"/>
      <c r="D40" s="51">
        <f t="shared" si="3"/>
        <v>42.380544837270556</v>
      </c>
      <c r="E40" s="51">
        <f t="shared" si="4"/>
        <v>42.380544837270556</v>
      </c>
      <c r="F40" s="51"/>
      <c r="G40" s="51"/>
      <c r="H40" s="51"/>
      <c r="I40" s="51"/>
      <c r="J40" s="51"/>
      <c r="K40" s="51"/>
      <c r="L40" s="51"/>
      <c r="M40" s="51"/>
      <c r="N40" s="51"/>
      <c r="O40" s="65">
        <f>'Px prices'!B39</f>
        <v>42.380544837270556</v>
      </c>
      <c r="P40" s="65"/>
    </row>
    <row r="41" spans="1:19">
      <c r="A41" s="4">
        <v>1816</v>
      </c>
      <c r="B41" s="56">
        <f t="shared" si="2"/>
        <v>56.353483689474082</v>
      </c>
      <c r="C41" s="75"/>
      <c r="D41" s="51">
        <f t="shared" si="3"/>
        <v>54.594615177907528</v>
      </c>
      <c r="E41" s="51">
        <f t="shared" si="4"/>
        <v>54.594615177907528</v>
      </c>
      <c r="F41" s="51"/>
      <c r="G41" s="51"/>
      <c r="H41" s="51"/>
      <c r="I41" s="51"/>
      <c r="J41" s="51"/>
      <c r="K41" s="51"/>
      <c r="L41" s="51"/>
      <c r="M41" s="51"/>
      <c r="N41" s="51"/>
      <c r="O41" s="65">
        <f>'Px prices'!B40</f>
        <v>54.594615177907528</v>
      </c>
      <c r="P41" s="65"/>
    </row>
    <row r="42" spans="1:19">
      <c r="A42" s="4">
        <v>1817</v>
      </c>
      <c r="B42" s="56">
        <f t="shared" si="2"/>
        <v>57.704195872208054</v>
      </c>
      <c r="C42" s="75"/>
      <c r="D42" s="51">
        <f t="shared" si="3"/>
        <v>55.903169804961507</v>
      </c>
      <c r="E42" s="51">
        <f t="shared" si="4"/>
        <v>55.903169804961507</v>
      </c>
      <c r="F42" s="51"/>
      <c r="G42" s="51"/>
      <c r="H42" s="51"/>
      <c r="I42" s="51"/>
      <c r="J42" s="51"/>
      <c r="K42" s="51"/>
      <c r="L42" s="51"/>
      <c r="M42" s="51"/>
      <c r="N42" s="51"/>
      <c r="O42" s="65">
        <f>'Px prices'!B41</f>
        <v>55.903169804961507</v>
      </c>
      <c r="P42" s="65"/>
    </row>
    <row r="43" spans="1:19">
      <c r="A43" s="4">
        <v>1818</v>
      </c>
      <c r="B43" s="56">
        <f t="shared" si="2"/>
        <v>59.630621444303998</v>
      </c>
      <c r="C43" s="75"/>
      <c r="D43" s="51">
        <f t="shared" si="3"/>
        <v>57.769469027153235</v>
      </c>
      <c r="E43" s="51">
        <f t="shared" si="4"/>
        <v>57.769469027153235</v>
      </c>
      <c r="F43" s="51"/>
      <c r="G43" s="51"/>
      <c r="H43" s="51"/>
      <c r="I43" s="51"/>
      <c r="J43" s="51"/>
      <c r="K43" s="51"/>
      <c r="L43" s="51"/>
      <c r="M43" s="51"/>
      <c r="N43" s="51"/>
      <c r="O43" s="65">
        <f>'Px prices'!B42</f>
        <v>57.769469027153235</v>
      </c>
      <c r="P43" s="65"/>
    </row>
    <row r="44" spans="1:19">
      <c r="A44" s="4">
        <v>1819</v>
      </c>
      <c r="B44" s="56">
        <f t="shared" si="2"/>
        <v>58.966336764270899</v>
      </c>
      <c r="C44" s="75"/>
      <c r="D44" s="51">
        <f t="shared" si="3"/>
        <v>57.125917571225038</v>
      </c>
      <c r="E44" s="51">
        <f t="shared" si="4"/>
        <v>57.125917571225038</v>
      </c>
      <c r="F44" s="51"/>
      <c r="G44" s="51"/>
      <c r="H44" s="51"/>
      <c r="I44" s="51"/>
      <c r="J44" s="51"/>
      <c r="K44" s="51"/>
      <c r="L44" s="51"/>
      <c r="M44" s="51"/>
      <c r="N44" s="51"/>
      <c r="O44" s="65">
        <f>'Px prices'!B43</f>
        <v>57.125917571225038</v>
      </c>
      <c r="P44" s="65"/>
    </row>
    <row r="45" spans="1:19">
      <c r="A45" s="4">
        <v>1820</v>
      </c>
      <c r="B45" s="56">
        <f t="shared" si="2"/>
        <v>55.755627477444307</v>
      </c>
      <c r="C45" s="75"/>
      <c r="D45" s="51">
        <f t="shared" si="3"/>
        <v>54.01541886757218</v>
      </c>
      <c r="E45" s="51">
        <f t="shared" si="4"/>
        <v>54.01541886757218</v>
      </c>
      <c r="F45" s="51"/>
      <c r="G45" s="51"/>
      <c r="H45" s="51"/>
      <c r="I45" s="51"/>
      <c r="J45" s="51"/>
      <c r="K45" s="51"/>
      <c r="L45" s="51"/>
      <c r="M45" s="51"/>
      <c r="N45" s="51"/>
      <c r="O45" s="65">
        <f>'Px prices'!B44</f>
        <v>54.01541886757218</v>
      </c>
      <c r="P45" s="65"/>
    </row>
    <row r="46" spans="1:19">
      <c r="A46" s="4">
        <v>1821</v>
      </c>
      <c r="B46" s="56">
        <f t="shared" si="2"/>
        <v>73.419833606254869</v>
      </c>
      <c r="C46" s="75"/>
      <c r="D46" s="51">
        <f t="shared" si="3"/>
        <v>71.128301211095788</v>
      </c>
      <c r="E46" s="51">
        <f t="shared" si="4"/>
        <v>71.128301211095788</v>
      </c>
      <c r="F46" s="51"/>
      <c r="G46" s="51"/>
      <c r="H46" s="51"/>
      <c r="I46" s="51"/>
      <c r="J46" s="51"/>
      <c r="K46" s="51"/>
      <c r="L46" s="51"/>
      <c r="M46" s="51"/>
      <c r="N46" s="51"/>
      <c r="O46" s="65">
        <f>'Px prices'!B45</f>
        <v>71.128301211095788</v>
      </c>
      <c r="P46" s="65"/>
    </row>
    <row r="47" spans="1:19">
      <c r="A47" s="4">
        <v>1822</v>
      </c>
      <c r="B47" s="56">
        <f>(GEOMEAN(E47:F47)/GEOMEAN(E$62:F$62))*B$62</f>
        <v>79.689077937667875</v>
      </c>
      <c r="C47" s="75"/>
      <c r="D47" s="51">
        <f t="shared" si="3"/>
        <v>77.201873940259674</v>
      </c>
      <c r="E47" s="51">
        <f t="shared" si="4"/>
        <v>77.201873940259674</v>
      </c>
      <c r="F47" s="51">
        <f>S47</f>
        <v>72.188736992604873</v>
      </c>
      <c r="G47" s="51"/>
      <c r="H47" s="51"/>
      <c r="I47" s="51"/>
      <c r="J47" s="51"/>
      <c r="K47" s="51"/>
      <c r="L47" s="51"/>
      <c r="M47" s="51"/>
      <c r="N47" s="51"/>
      <c r="O47" s="65">
        <f>'Px prices'!B46</f>
        <v>77.201873940259674</v>
      </c>
      <c r="P47" s="65">
        <f>('Px prices'!C46^'Px wts'!C$19)*('Px prices'!B46^'Px wts'!B$19)</f>
        <v>72.188736992604859</v>
      </c>
      <c r="S47" s="65">
        <f>('Px prices'!C46^'Px wts'!C$23)*('Px prices'!B46^'Px wts'!B$23)</f>
        <v>72.188736992604873</v>
      </c>
    </row>
    <row r="48" spans="1:19">
      <c r="A48" s="4">
        <v>1823</v>
      </c>
      <c r="B48" s="56">
        <f>(GEOMEAN(E48:F48)/GEOMEAN(E$62:F$62))*B$62</f>
        <v>74.106920790951051</v>
      </c>
      <c r="C48" s="75"/>
      <c r="E48" s="51">
        <f>(P48/P$47)*E$47</f>
        <v>71.793943474648799</v>
      </c>
      <c r="F48" s="51">
        <f>S48</f>
        <v>67.131972821849487</v>
      </c>
      <c r="G48" s="51"/>
      <c r="H48" s="51"/>
      <c r="I48" s="51"/>
      <c r="J48" s="51"/>
      <c r="K48" s="51"/>
      <c r="L48" s="51"/>
      <c r="M48" s="51"/>
      <c r="N48" s="51"/>
      <c r="O48" s="65"/>
      <c r="P48" s="65">
        <f>('Px prices'!C47^'Px wts'!C$19)*('Px prices'!B47^'Px wts'!B$19)</f>
        <v>67.131972821849487</v>
      </c>
      <c r="S48" s="65">
        <f>('Px prices'!C47^'Px wts'!C$23)*('Px prices'!B47^'Px wts'!B$23)</f>
        <v>67.131972821849487</v>
      </c>
    </row>
    <row r="49" spans="1:29">
      <c r="A49" s="4">
        <v>1824</v>
      </c>
      <c r="B49" s="56"/>
      <c r="C49" s="75"/>
      <c r="E49" s="51"/>
      <c r="F49" s="51"/>
      <c r="G49" s="51"/>
      <c r="H49" s="51"/>
      <c r="I49" s="51"/>
      <c r="J49" s="51"/>
      <c r="K49" s="51"/>
      <c r="L49" s="51"/>
      <c r="M49" s="51"/>
      <c r="N49" s="51"/>
      <c r="O49" s="65"/>
      <c r="P49" s="65"/>
      <c r="S49" s="65"/>
    </row>
    <row r="50" spans="1:29">
      <c r="A50" s="4">
        <v>1825</v>
      </c>
      <c r="B50" s="56"/>
      <c r="C50" s="75"/>
      <c r="E50" s="51"/>
      <c r="F50" s="51"/>
      <c r="G50" s="51"/>
      <c r="H50" s="51"/>
      <c r="I50" s="51"/>
      <c r="J50" s="51"/>
      <c r="K50" s="51"/>
      <c r="L50" s="51"/>
      <c r="M50" s="51"/>
      <c r="N50" s="51"/>
      <c r="O50" s="65"/>
      <c r="P50" s="65"/>
    </row>
    <row r="51" spans="1:29">
      <c r="A51" s="4">
        <v>1826</v>
      </c>
      <c r="B51" s="56"/>
      <c r="C51" s="75"/>
      <c r="E51" s="51"/>
      <c r="F51" s="51"/>
      <c r="G51" s="51"/>
      <c r="H51" s="51"/>
      <c r="I51" s="51"/>
      <c r="J51" s="51"/>
      <c r="K51" s="51"/>
      <c r="L51" s="51"/>
      <c r="M51" s="51"/>
      <c r="N51" s="51"/>
      <c r="O51" s="65"/>
      <c r="P51" s="65"/>
    </row>
    <row r="52" spans="1:29">
      <c r="A52" s="4">
        <v>1827</v>
      </c>
      <c r="B52" s="56"/>
      <c r="C52" s="75"/>
      <c r="E52" s="51"/>
      <c r="F52" s="51"/>
      <c r="G52" s="51"/>
      <c r="H52" s="51"/>
      <c r="I52" s="51"/>
      <c r="J52" s="51"/>
      <c r="K52" s="51"/>
      <c r="L52" s="51"/>
      <c r="M52" s="51"/>
      <c r="N52" s="51"/>
      <c r="O52" s="65"/>
      <c r="P52" s="65"/>
      <c r="T52" s="65"/>
      <c r="U52" s="65"/>
      <c r="V52" s="65"/>
      <c r="W52" s="65"/>
      <c r="X52" s="65"/>
      <c r="Y52" s="65"/>
      <c r="Z52" s="65"/>
      <c r="AA52" s="65"/>
      <c r="AB52" s="65"/>
      <c r="AC52" s="65"/>
    </row>
    <row r="53" spans="1:29">
      <c r="A53" s="4">
        <v>1828</v>
      </c>
      <c r="B53" s="56"/>
      <c r="C53" s="75"/>
      <c r="E53" s="51"/>
      <c r="F53" s="51"/>
      <c r="G53" s="51"/>
      <c r="H53" s="51"/>
      <c r="I53" s="51"/>
      <c r="J53" s="51"/>
      <c r="K53" s="51"/>
      <c r="L53" s="51"/>
      <c r="M53" s="51"/>
      <c r="N53" s="51"/>
      <c r="O53" s="65"/>
      <c r="P53" s="65"/>
      <c r="T53" s="65"/>
      <c r="U53" s="65"/>
      <c r="V53" s="65"/>
      <c r="W53" s="65"/>
      <c r="X53" s="65"/>
      <c r="Y53" s="65"/>
      <c r="Z53" s="65"/>
      <c r="AA53" s="65"/>
      <c r="AB53" s="65"/>
      <c r="AC53" s="65"/>
    </row>
    <row r="54" spans="1:29">
      <c r="A54" s="4">
        <v>1829</v>
      </c>
      <c r="B54" s="56">
        <f t="shared" ref="B54:B61" si="5">(GEOMEAN(E54:F54)/GEOMEAN(E$62:F$62))*B$62</f>
        <v>57.92469827158488</v>
      </c>
      <c r="C54" s="75"/>
      <c r="E54" s="51">
        <f>(P54/P$47)*E$47</f>
        <v>56.116790025960036</v>
      </c>
      <c r="F54" s="51">
        <f>S54</f>
        <v>52.472822087039027</v>
      </c>
      <c r="G54" s="51"/>
      <c r="H54" s="51"/>
      <c r="I54" s="51"/>
      <c r="J54" s="51"/>
      <c r="K54" s="51"/>
      <c r="L54" s="51"/>
      <c r="M54" s="51"/>
      <c r="N54" s="51"/>
      <c r="O54" s="65"/>
      <c r="P54" s="65">
        <f>('Px prices'!C53^'Px wts'!C$19)*('Px prices'!B53^'Px wts'!B$19)</f>
        <v>52.472822087039027</v>
      </c>
      <c r="Q54" s="65">
        <f>('Px prices'!B53^'Px wts'!B$20)*('Px prices'!C53^'Px wts'!C$20)*('Px prices'!D53^'Px wts'!D$20)</f>
        <v>42.516664899748086</v>
      </c>
      <c r="S54" s="65">
        <f>('Px prices'!C53^'Px wts'!C$23)*('Px prices'!B53^'Px wts'!B$23)</f>
        <v>52.472822087039027</v>
      </c>
      <c r="T54" s="65">
        <f>('Px prices'!B53^'Px wts'!B$24)*('Px prices'!C53^'Px wts'!C$24)*('Px prices'!D53^'Px wts'!D$24)</f>
        <v>43.214954098937845</v>
      </c>
      <c r="U54" s="65"/>
      <c r="V54" s="65"/>
      <c r="W54" s="65"/>
      <c r="X54" s="65"/>
      <c r="Y54" s="65"/>
      <c r="Z54" s="65"/>
      <c r="AA54" s="65"/>
      <c r="AB54" s="65"/>
      <c r="AC54" s="65"/>
    </row>
    <row r="55" spans="1:29">
      <c r="A55" s="4">
        <v>1830</v>
      </c>
      <c r="B55" s="56">
        <f t="shared" si="5"/>
        <v>61.138278386530644</v>
      </c>
      <c r="C55" s="75"/>
      <c r="E55" s="51">
        <f>(Q55/Q$54)*E$54</f>
        <v>59.127390259828125</v>
      </c>
      <c r="F55" s="51">
        <f>(T55/T$54)*F$54</f>
        <v>55.48011872116021</v>
      </c>
      <c r="G55" s="51"/>
      <c r="H55" s="51"/>
      <c r="I55" s="51"/>
      <c r="J55" s="51"/>
      <c r="K55" s="51"/>
      <c r="L55" s="51"/>
      <c r="M55" s="51"/>
      <c r="N55" s="51"/>
      <c r="Q55" s="65">
        <f>('Px prices'!B54^'Px wts'!B$20)*('Px prices'!C54^'Px wts'!C$20)*('Px prices'!D54^'Px wts'!D$20)</f>
        <v>44.797634307143959</v>
      </c>
      <c r="S55" s="65"/>
      <c r="T55" s="65">
        <f>('Px prices'!B54^'Px wts'!B$24)*('Px prices'!C54^'Px wts'!C$24)*('Px prices'!D54^'Px wts'!D$24)</f>
        <v>45.691668345216925</v>
      </c>
      <c r="U55" s="65"/>
      <c r="V55" s="65"/>
      <c r="W55" s="65"/>
      <c r="X55" s="65"/>
      <c r="Y55" s="65"/>
      <c r="Z55" s="65"/>
      <c r="AA55" s="65"/>
      <c r="AB55" s="65"/>
      <c r="AC55" s="65"/>
    </row>
    <row r="56" spans="1:29">
      <c r="A56" s="4">
        <v>1831</v>
      </c>
      <c r="B56" s="56">
        <f t="shared" si="5"/>
        <v>55.073507603507515</v>
      </c>
      <c r="C56" s="75"/>
      <c r="E56" s="51">
        <f>(Q56/Q$54)*E$54</f>
        <v>53.260676733901398</v>
      </c>
      <c r="F56" s="51">
        <f>(T56/T$54)*F$54</f>
        <v>49.977954418155903</v>
      </c>
      <c r="G56" s="51"/>
      <c r="H56" s="51"/>
      <c r="I56" s="51"/>
      <c r="J56" s="51"/>
      <c r="K56" s="51"/>
      <c r="L56" s="51"/>
      <c r="M56" s="51"/>
      <c r="N56" s="51"/>
      <c r="Q56" s="65">
        <f>('Px prices'!B55^'Px wts'!B$20)*('Px prices'!C55^'Px wts'!C$20)*('Px prices'!D55^'Px wts'!D$20)</f>
        <v>40.352741915236713</v>
      </c>
      <c r="S56" s="65"/>
      <c r="T56" s="65">
        <f>('Px prices'!B55^'Px wts'!B$24)*('Px prices'!C55^'Px wts'!C$24)*('Px prices'!D55^'Px wts'!D$24)</f>
        <v>41.160260116310617</v>
      </c>
      <c r="U56" s="65"/>
      <c r="V56" s="65"/>
      <c r="W56" s="65"/>
      <c r="X56" s="65"/>
      <c r="Y56" s="65"/>
      <c r="Z56" s="65"/>
      <c r="AA56" s="65"/>
      <c r="AB56" s="65"/>
      <c r="AC56" s="65"/>
    </row>
    <row r="57" spans="1:29">
      <c r="A57" s="4">
        <v>1832</v>
      </c>
      <c r="B57" s="56">
        <f t="shared" si="5"/>
        <v>57.166383529712597</v>
      </c>
      <c r="C57" s="75"/>
      <c r="E57" s="51">
        <f>(Q57/Q$54)*E$54</f>
        <v>55.365813705768211</v>
      </c>
      <c r="F57" s="51">
        <f>(T57/T$54)*F$54</f>
        <v>51.801153716909496</v>
      </c>
      <c r="G57" s="51"/>
      <c r="H57" s="51"/>
      <c r="I57" s="51"/>
      <c r="J57" s="51"/>
      <c r="K57" s="51"/>
      <c r="L57" s="51"/>
      <c r="M57" s="51"/>
      <c r="N57" s="51"/>
      <c r="Q57" s="65">
        <f>('Px prices'!B56^'Px wts'!B$20)*('Px prices'!C56^'Px wts'!C$20)*('Px prices'!D56^'Px wts'!D$20)</f>
        <v>41.947690649109887</v>
      </c>
      <c r="S57" s="65"/>
      <c r="T57" s="65">
        <f>('Px prices'!B56^'Px wts'!B$24)*('Px prices'!C56^'Px wts'!C$24)*('Px prices'!D56^'Px wts'!D$24)</f>
        <v>42.661789305614754</v>
      </c>
      <c r="U57" s="65"/>
      <c r="V57" s="65"/>
      <c r="W57" s="65"/>
      <c r="X57" s="65"/>
      <c r="Y57" s="65"/>
      <c r="Z57" s="65"/>
      <c r="AA57" s="65"/>
      <c r="AB57" s="65"/>
      <c r="AC57" s="65"/>
    </row>
    <row r="58" spans="1:29">
      <c r="A58" s="4">
        <v>1833</v>
      </c>
      <c r="B58" s="56">
        <f t="shared" si="5"/>
        <v>57.338470149144243</v>
      </c>
      <c r="C58" s="75"/>
      <c r="E58" s="51">
        <f>(Q58/Q$54)*E$54</f>
        <v>55.502917814966487</v>
      </c>
      <c r="F58" s="51">
        <f>(T58/T$54)*F$54</f>
        <v>51.98476320815643</v>
      </c>
      <c r="G58" s="51"/>
      <c r="H58" s="51"/>
      <c r="I58" s="51"/>
      <c r="J58" s="51"/>
      <c r="K58" s="51"/>
      <c r="L58" s="51"/>
      <c r="M58" s="51"/>
      <c r="N58" s="51"/>
      <c r="Q58" s="65">
        <f>('Px prices'!B57^'Px wts'!B$20)*('Px prices'!C57^'Px wts'!C$20)*('Px prices'!D57^'Px wts'!D$20)</f>
        <v>42.051567037343517</v>
      </c>
      <c r="R58" s="65">
        <f>('Px prices'!B57^'Px wts'!B$21)*('Px prices'!C57^'Px wts'!C$21)*('Px prices'!E57^'Px wts'!E$21)*('Px prices'!F57^'Px wts'!F$21)*('Px prices'!D57^'Px wts'!D$21)</f>
        <v>41.336035745292371</v>
      </c>
      <c r="S58" s="65"/>
      <c r="T58" s="65">
        <f>('Px prices'!B57^'Px wts'!B$24)*('Px prices'!C57^'Px wts'!C$24)*('Px prices'!D57^'Px wts'!D$24)</f>
        <v>42.813004266441602</v>
      </c>
      <c r="U58" s="65">
        <f>('Px prices'!B57^'Px wts'!B$25)*('Px prices'!C57^'Px wts'!C$25)*('Px prices'!E57^'Px wts'!E$25)*('Px prices'!F57^'Px wts'!F$25)*('Px prices'!D57^'Px wts'!D$25)</f>
        <v>40.879390770233172</v>
      </c>
      <c r="V58" s="65"/>
      <c r="W58" s="65"/>
      <c r="X58" s="65"/>
      <c r="Y58" s="65"/>
      <c r="Z58" s="65"/>
      <c r="AA58" s="65"/>
      <c r="AB58" s="65"/>
      <c r="AC58" s="65"/>
    </row>
    <row r="59" spans="1:29">
      <c r="A59" s="4">
        <v>1834</v>
      </c>
      <c r="B59" s="56">
        <f t="shared" si="5"/>
        <v>60.756820682349542</v>
      </c>
      <c r="C59" s="75"/>
      <c r="E59" s="51">
        <f>(R59/R$58)*E$58</f>
        <v>58.584173135000228</v>
      </c>
      <c r="F59" s="51">
        <f t="shared" ref="F59:F76" si="6">(U59/U$58)*F$58</f>
        <v>55.298004201196157</v>
      </c>
      <c r="G59" s="51"/>
      <c r="H59" s="51"/>
      <c r="I59" s="51"/>
      <c r="J59" s="51"/>
      <c r="K59" s="51"/>
      <c r="L59" s="51"/>
      <c r="M59" s="51"/>
      <c r="N59" s="51"/>
      <c r="R59" s="65">
        <f>('Px prices'!B58^'Px wts'!B$21)*('Px prices'!C58^'Px wts'!C$21)*('Px prices'!E58^'Px wts'!E$21)*('Px prices'!F58^'Px wts'!F$21)*('Px prices'!D58^'Px wts'!D$21)</f>
        <v>43.630813840993532</v>
      </c>
      <c r="S59" s="65"/>
      <c r="T59" s="65"/>
      <c r="U59" s="65">
        <f>('Px prices'!B58^'Px wts'!B$25)*('Px prices'!C58^'Px wts'!C$25)*('Px prices'!E58^'Px wts'!E$25)*('Px prices'!F58^'Px wts'!F$25)*('Px prices'!D58^'Px wts'!D$25)</f>
        <v>43.484832536469312</v>
      </c>
      <c r="V59" s="65"/>
      <c r="W59" s="65"/>
      <c r="X59" s="65"/>
      <c r="Y59" s="65"/>
      <c r="Z59" s="65"/>
      <c r="AA59" s="65"/>
      <c r="AB59" s="65"/>
      <c r="AC59" s="65"/>
    </row>
    <row r="60" spans="1:29">
      <c r="A60" s="4">
        <v>1835</v>
      </c>
      <c r="B60" s="56">
        <f t="shared" si="5"/>
        <v>56.777277368438192</v>
      </c>
      <c r="C60" s="75"/>
      <c r="E60" s="51">
        <f>(R60/R$58)*E$58</f>
        <v>54.997658223734945</v>
      </c>
      <c r="F60" s="51">
        <f t="shared" si="6"/>
        <v>51.440432392318158</v>
      </c>
      <c r="G60" s="51"/>
      <c r="H60" s="51"/>
      <c r="I60" s="51"/>
      <c r="J60" s="51"/>
      <c r="K60" s="51"/>
      <c r="L60" s="51"/>
      <c r="M60" s="51"/>
      <c r="N60" s="51"/>
      <c r="R60" s="65">
        <f>('Px prices'!B59^'Px wts'!B$21)*('Px prices'!C59^'Px wts'!C$21)*('Px prices'!E59^'Px wts'!E$21)*('Px prices'!F59^'Px wts'!F$21)*('Px prices'!D59^'Px wts'!D$21)</f>
        <v>40.959741500845155</v>
      </c>
      <c r="S60" s="65"/>
      <c r="T60" s="65"/>
      <c r="U60" s="65">
        <f>('Px prices'!B59^'Px wts'!B$25)*('Px prices'!C59^'Px wts'!C$25)*('Px prices'!E59^'Px wts'!E$25)*('Px prices'!F59^'Px wts'!F$25)*('Px prices'!D59^'Px wts'!D$25)</f>
        <v>40.451343958904403</v>
      </c>
      <c r="V60" s="65"/>
      <c r="W60" s="65"/>
      <c r="X60" s="65"/>
      <c r="Y60" s="65"/>
      <c r="Z60" s="65"/>
      <c r="AA60" s="65"/>
      <c r="AB60" s="65"/>
      <c r="AC60" s="65"/>
    </row>
    <row r="61" spans="1:29">
      <c r="A61" s="4">
        <v>1836</v>
      </c>
      <c r="B61" s="56">
        <f t="shared" si="5"/>
        <v>57.602071628007224</v>
      </c>
      <c r="C61" s="75"/>
      <c r="E61" s="51">
        <f>(R61/R$58)*E$58</f>
        <v>55.821694008020238</v>
      </c>
      <c r="F61" s="51">
        <f t="shared" si="6"/>
        <v>52.164239017190923</v>
      </c>
      <c r="G61" s="51"/>
      <c r="H61" s="51"/>
      <c r="I61" s="51"/>
      <c r="J61" s="51"/>
      <c r="K61" s="51"/>
      <c r="L61" s="51"/>
      <c r="M61" s="51"/>
      <c r="N61" s="51"/>
      <c r="R61" s="65">
        <f>('Px prices'!B60^'Px wts'!B$21)*('Px prices'!C60^'Px wts'!C$21)*('Px prices'!E60^'Px wts'!E$21)*('Px prices'!F60^'Px wts'!F$21)*('Px prices'!D60^'Px wts'!D$21)</f>
        <v>41.573445680293389</v>
      </c>
      <c r="S61" s="65"/>
      <c r="T61" s="65"/>
      <c r="U61" s="65">
        <f>('Px prices'!B60^'Px wts'!B$25)*('Px prices'!C60^'Px wts'!C$25)*('Px prices'!E60^'Px wts'!E$25)*('Px prices'!F60^'Px wts'!F$25)*('Px prices'!D60^'Px wts'!D$25)</f>
        <v>41.020525619726406</v>
      </c>
      <c r="V61" s="65"/>
      <c r="W61" s="65"/>
      <c r="X61" s="65"/>
      <c r="Y61" s="65"/>
      <c r="Z61" s="65"/>
      <c r="AA61" s="65"/>
      <c r="AB61" s="65"/>
      <c r="AC61" s="65"/>
    </row>
    <row r="62" spans="1:29">
      <c r="A62" s="4">
        <v>1837</v>
      </c>
      <c r="B62" s="56">
        <f t="shared" ref="B62:B75" si="7">(GEOMEAN(F62:G62)/GEOMEAN(F$76:G$76))*B$76</f>
        <v>52.787510368813905</v>
      </c>
      <c r="C62" s="75"/>
      <c r="E62" s="51">
        <f>(R62/R$58)*E$58</f>
        <v>51.112165931854022</v>
      </c>
      <c r="F62" s="51">
        <f t="shared" si="6"/>
        <v>47.845131953116521</v>
      </c>
      <c r="G62" s="51">
        <f t="shared" ref="G62:G76" si="8">V62</f>
        <v>37.480789315357519</v>
      </c>
      <c r="H62" s="51"/>
      <c r="I62" s="51"/>
      <c r="J62" s="51"/>
      <c r="K62" s="51"/>
      <c r="L62" s="51"/>
      <c r="M62" s="51"/>
      <c r="N62" s="51"/>
      <c r="R62" s="65">
        <f>('Px prices'!B61^'Px wts'!B$21)*('Px prices'!C61^'Px wts'!C$21)*('Px prices'!E61^'Px wts'!E$21)*('Px prices'!F61^'Px wts'!F$21)*('Px prices'!D61^'Px wts'!D$21)</f>
        <v>38.066004476051496</v>
      </c>
      <c r="S62" s="65"/>
      <c r="T62" s="65"/>
      <c r="U62" s="65">
        <f>('Px prices'!B61^'Px wts'!B$25)*('Px prices'!C61^'Px wts'!C$25)*('Px prices'!E61^'Px wts'!E$25)*('Px prices'!F61^'Px wts'!F$25)*('Px prices'!D61^'Px wts'!D$25)</f>
        <v>37.624098386927756</v>
      </c>
      <c r="V62" s="65">
        <f>('Px prices'!B61^'Px wts'!B$27)*('Px prices'!C61^'Px wts'!C$27)*('Px prices'!E61^'Px wts'!E$27)*('Px prices'!F61^'Px wts'!F$27)*('Px prices'!D61^'Px wts'!D$27)</f>
        <v>37.480789315357519</v>
      </c>
      <c r="W62" s="65"/>
      <c r="X62" s="65"/>
      <c r="Y62" s="65"/>
      <c r="Z62" s="65"/>
      <c r="AA62" s="65"/>
      <c r="AB62" s="65"/>
      <c r="AC62" s="65"/>
    </row>
    <row r="63" spans="1:29">
      <c r="A63" s="4">
        <v>1838</v>
      </c>
      <c r="B63" s="56">
        <f t="shared" si="7"/>
        <v>46.450718729265134</v>
      </c>
      <c r="C63" s="75"/>
      <c r="F63" s="51">
        <f t="shared" si="6"/>
        <v>41.9005205417551</v>
      </c>
      <c r="G63" s="51">
        <f t="shared" si="8"/>
        <v>33.139777132177407</v>
      </c>
      <c r="H63" s="51"/>
      <c r="I63" s="51"/>
      <c r="J63" s="51"/>
      <c r="K63" s="51"/>
      <c r="L63" s="51"/>
      <c r="M63" s="51"/>
      <c r="N63" s="51"/>
      <c r="S63" s="65"/>
      <c r="T63" s="65"/>
      <c r="U63" s="65">
        <f>('Px prices'!B62^'Px wts'!B$25)*('Px prices'!C62^'Px wts'!C$25)*('Px prices'!E62^'Px wts'!E$25)*('Px prices'!F62^'Px wts'!F$25)*('Px prices'!D62^'Px wts'!D$25)</f>
        <v>32.949419156608549</v>
      </c>
      <c r="V63" s="65">
        <f>('Px prices'!B62^'Px wts'!B$27)*('Px prices'!C62^'Px wts'!C$27)*('Px prices'!E62^'Px wts'!E$27)*('Px prices'!F62^'Px wts'!F$27)*('Px prices'!D62^'Px wts'!D$27)</f>
        <v>33.139777132177407</v>
      </c>
      <c r="W63" s="65"/>
      <c r="X63" s="65"/>
      <c r="Y63" s="65"/>
      <c r="Z63" s="65"/>
      <c r="AA63" s="65"/>
      <c r="AB63" s="65"/>
      <c r="AC63" s="65"/>
    </row>
    <row r="64" spans="1:29">
      <c r="A64" s="4">
        <v>1839</v>
      </c>
      <c r="B64" s="56">
        <f t="shared" si="7"/>
        <v>36.052872283640795</v>
      </c>
      <c r="C64" s="75"/>
      <c r="F64" s="51">
        <f t="shared" si="6"/>
        <v>32.449898880826062</v>
      </c>
      <c r="G64" s="51">
        <f t="shared" si="8"/>
        <v>25.778077068824913</v>
      </c>
      <c r="H64" s="51"/>
      <c r="I64" s="51"/>
      <c r="J64" s="51"/>
      <c r="K64" s="51"/>
      <c r="L64" s="51"/>
      <c r="M64" s="51"/>
      <c r="N64" s="51"/>
      <c r="S64" s="65"/>
      <c r="T64" s="65"/>
      <c r="U64" s="65">
        <f>('Px prices'!B63^'Px wts'!B$25)*('Px prices'!C63^'Px wts'!C$25)*('Px prices'!E63^'Px wts'!E$25)*('Px prices'!F63^'Px wts'!F$25)*('Px prices'!D63^'Px wts'!D$25)</f>
        <v>25.517709708365224</v>
      </c>
      <c r="V64" s="65">
        <f>('Px prices'!B63^'Px wts'!B$27)*('Px prices'!C63^'Px wts'!C$27)*('Px prices'!E63^'Px wts'!E$27)*('Px prices'!F63^'Px wts'!F$27)*('Px prices'!D63^'Px wts'!D$27)</f>
        <v>25.778077068824913</v>
      </c>
      <c r="W64" s="65"/>
      <c r="X64" s="65"/>
      <c r="Y64" s="65"/>
      <c r="Z64" s="65"/>
      <c r="AA64" s="65"/>
      <c r="AB64" s="65"/>
      <c r="AC64" s="65"/>
    </row>
    <row r="65" spans="1:29">
      <c r="A65" s="4">
        <v>1840</v>
      </c>
      <c r="B65" s="56">
        <f t="shared" si="7"/>
        <v>32.701395528634166</v>
      </c>
      <c r="C65" s="75"/>
      <c r="F65" s="51">
        <f t="shared" si="6"/>
        <v>29.3639635639197</v>
      </c>
      <c r="G65" s="51">
        <f t="shared" si="8"/>
        <v>23.437000103542765</v>
      </c>
      <c r="H65" s="51"/>
      <c r="I65" s="51"/>
      <c r="J65" s="51"/>
      <c r="K65" s="51"/>
      <c r="L65" s="51"/>
      <c r="M65" s="51"/>
      <c r="N65" s="51"/>
      <c r="S65" s="65"/>
      <c r="T65" s="65"/>
      <c r="U65" s="65">
        <f>('Px prices'!B64^'Px wts'!B$25)*('Px prices'!C64^'Px wts'!C$25)*('Px prices'!E64^'Px wts'!E$25)*('Px prices'!F64^'Px wts'!F$25)*('Px prices'!D64^'Px wts'!D$25)</f>
        <v>23.091014886146905</v>
      </c>
      <c r="V65" s="65">
        <f>('Px prices'!B64^'Px wts'!B$27)*('Px prices'!C64^'Px wts'!C$27)*('Px prices'!E64^'Px wts'!E$27)*('Px prices'!F64^'Px wts'!F$27)*('Px prices'!D64^'Px wts'!D$27)</f>
        <v>23.437000103542765</v>
      </c>
      <c r="W65" s="65"/>
      <c r="X65" s="65"/>
      <c r="Y65" s="65"/>
      <c r="Z65" s="65"/>
      <c r="AA65" s="65"/>
      <c r="AB65" s="65"/>
      <c r="AC65" s="65"/>
    </row>
    <row r="66" spans="1:29">
      <c r="A66" s="4">
        <v>1841</v>
      </c>
      <c r="B66" s="56">
        <f t="shared" si="7"/>
        <v>45.266366791523126</v>
      </c>
      <c r="C66" s="75"/>
      <c r="F66" s="51">
        <f t="shared" si="6"/>
        <v>40.456769182146061</v>
      </c>
      <c r="G66" s="51">
        <f t="shared" si="8"/>
        <v>32.594491045863286</v>
      </c>
      <c r="H66" s="51"/>
      <c r="I66" s="51"/>
      <c r="J66" s="51"/>
      <c r="K66" s="51"/>
      <c r="L66" s="51"/>
      <c r="M66" s="51"/>
      <c r="N66" s="51"/>
      <c r="S66" s="65"/>
      <c r="T66" s="65"/>
      <c r="U66" s="65">
        <f>('Px prices'!B65^'Px wts'!B$25)*('Px prices'!C65^'Px wts'!C$25)*('Px prices'!E65^'Px wts'!E$25)*('Px prices'!F65^'Px wts'!F$25)*('Px prices'!D65^'Px wts'!D$25)</f>
        <v>31.814092719356392</v>
      </c>
      <c r="V66" s="65">
        <f>('Px prices'!B65^'Px wts'!B$27)*('Px prices'!C65^'Px wts'!C$27)*('Px prices'!E65^'Px wts'!E$27)*('Px prices'!F65^'Px wts'!F$27)*('Px prices'!D65^'Px wts'!D$27)</f>
        <v>32.594491045863286</v>
      </c>
      <c r="W66" s="65"/>
      <c r="X66" s="65"/>
      <c r="Y66" s="65"/>
      <c r="Z66" s="65"/>
      <c r="AA66" s="65"/>
      <c r="AB66" s="65"/>
      <c r="AC66" s="65"/>
    </row>
    <row r="67" spans="1:29">
      <c r="A67" s="4">
        <v>1842</v>
      </c>
      <c r="B67" s="56">
        <f t="shared" si="7"/>
        <v>44.05684005207673</v>
      </c>
      <c r="C67" s="75"/>
      <c r="F67" s="51">
        <f t="shared" si="6"/>
        <v>39.308982293681275</v>
      </c>
      <c r="G67" s="51">
        <f t="shared" si="8"/>
        <v>31.777447813223844</v>
      </c>
      <c r="H67" s="51"/>
      <c r="I67" s="51"/>
      <c r="J67" s="51"/>
      <c r="K67" s="51"/>
      <c r="L67" s="51"/>
      <c r="M67" s="51"/>
      <c r="N67" s="51"/>
      <c r="S67" s="65"/>
      <c r="T67" s="65"/>
      <c r="U67" s="65">
        <f>('Px prices'!B66^'Px wts'!B$25)*('Px prices'!C66^'Px wts'!C$25)*('Px prices'!E66^'Px wts'!E$25)*('Px prices'!F66^'Px wts'!F$25)*('Px prices'!D66^'Px wts'!D$25)</f>
        <v>30.911504617788584</v>
      </c>
      <c r="V67" s="65">
        <f>('Px prices'!B66^'Px wts'!B$27)*('Px prices'!C66^'Px wts'!C$27)*('Px prices'!E66^'Px wts'!E$27)*('Px prices'!F66^'Px wts'!F$27)*('Px prices'!D66^'Px wts'!D$27)</f>
        <v>31.777447813223844</v>
      </c>
      <c r="W67" s="65"/>
      <c r="X67" s="65"/>
      <c r="Y67" s="65"/>
      <c r="Z67" s="65"/>
      <c r="AA67" s="65"/>
      <c r="AB67" s="65"/>
      <c r="AC67" s="65"/>
    </row>
    <row r="68" spans="1:29">
      <c r="A68" s="4">
        <v>1843</v>
      </c>
      <c r="B68" s="56">
        <f t="shared" si="7"/>
        <v>45.617322665096289</v>
      </c>
      <c r="C68" s="75"/>
      <c r="F68" s="51">
        <f t="shared" si="6"/>
        <v>41.728804058749191</v>
      </c>
      <c r="G68" s="51">
        <f t="shared" si="8"/>
        <v>32.092812011631004</v>
      </c>
      <c r="H68" s="51"/>
      <c r="I68" s="51"/>
      <c r="J68" s="51"/>
      <c r="K68" s="51"/>
      <c r="L68" s="51"/>
      <c r="M68" s="51"/>
      <c r="N68" s="51"/>
      <c r="S68" s="65"/>
      <c r="T68" s="65"/>
      <c r="U68" s="65">
        <f>('Px prices'!B67^'Px wts'!B$25)*('Px prices'!C67^'Px wts'!C$25)*('Px prices'!E67^'Px wts'!E$25)*('Px prices'!F67^'Px wts'!F$25)*('Px prices'!D67^'Px wts'!D$25)</f>
        <v>32.814386028105481</v>
      </c>
      <c r="V68" s="65">
        <f>('Px prices'!B67^'Px wts'!B$27)*('Px prices'!C67^'Px wts'!C$27)*('Px prices'!E67^'Px wts'!E$27)*('Px prices'!F67^'Px wts'!F$27)*('Px prices'!D67^'Px wts'!D$27)</f>
        <v>32.092812011631004</v>
      </c>
      <c r="W68" s="65"/>
      <c r="X68" s="65"/>
      <c r="Y68" s="65"/>
      <c r="Z68" s="65"/>
      <c r="AA68" s="65"/>
      <c r="AB68" s="65"/>
      <c r="AC68" s="65"/>
    </row>
    <row r="69" spans="1:29">
      <c r="A69" s="4">
        <v>1844</v>
      </c>
      <c r="B69" s="56">
        <f t="shared" si="7"/>
        <v>44.413608664246269</v>
      </c>
      <c r="C69" s="75"/>
      <c r="F69" s="51">
        <f t="shared" si="6"/>
        <v>41.620007860076768</v>
      </c>
      <c r="G69" s="51">
        <f t="shared" si="8"/>
        <v>30.501000873595721</v>
      </c>
      <c r="H69" s="51"/>
      <c r="I69" s="51"/>
      <c r="J69" s="51"/>
      <c r="K69" s="51"/>
      <c r="L69" s="51"/>
      <c r="M69" s="51"/>
      <c r="N69" s="51"/>
      <c r="S69" s="65"/>
      <c r="T69" s="65"/>
      <c r="U69" s="65">
        <f>('Px prices'!B68^'Px wts'!B$25)*('Px prices'!C68^'Px wts'!C$25)*('Px prices'!E68^'Px wts'!E$25)*('Px prices'!F68^'Px wts'!F$25)*('Px prices'!D68^'Px wts'!D$25)</f>
        <v>32.728831683998202</v>
      </c>
      <c r="V69" s="65">
        <f>('Px prices'!B68^'Px wts'!B$27)*('Px prices'!C68^'Px wts'!C$27)*('Px prices'!E68^'Px wts'!E$27)*('Px prices'!F68^'Px wts'!F$27)*('Px prices'!D68^'Px wts'!D$27)</f>
        <v>30.501000873595721</v>
      </c>
      <c r="W69" s="65"/>
      <c r="X69" s="65"/>
      <c r="Y69" s="65"/>
      <c r="Z69" s="65"/>
      <c r="AA69" s="65"/>
      <c r="AB69" s="65"/>
      <c r="AC69" s="65"/>
    </row>
    <row r="70" spans="1:29">
      <c r="A70" s="4">
        <v>1845</v>
      </c>
      <c r="B70" s="56">
        <f t="shared" si="7"/>
        <v>35.211818441658124</v>
      </c>
      <c r="C70" s="75"/>
      <c r="F70" s="51">
        <f t="shared" si="6"/>
        <v>33.088858203977779</v>
      </c>
      <c r="G70" s="51">
        <f t="shared" si="8"/>
        <v>24.114554994582655</v>
      </c>
      <c r="H70" s="51"/>
      <c r="I70" s="51"/>
      <c r="J70" s="51"/>
      <c r="K70" s="51"/>
      <c r="L70" s="51"/>
      <c r="M70" s="51"/>
      <c r="N70" s="51"/>
      <c r="S70" s="65"/>
      <c r="T70" s="65"/>
      <c r="U70" s="65">
        <f>('Px prices'!B69^'Px wts'!B$25)*('Px prices'!C69^'Px wts'!C$25)*('Px prices'!E69^'Px wts'!E$25)*('Px prices'!F69^'Px wts'!F$25)*('Px prices'!D69^'Px wts'!D$25)</f>
        <v>26.02016978022921</v>
      </c>
      <c r="V70" s="65">
        <f>('Px prices'!B69^'Px wts'!B$27)*('Px prices'!C69^'Px wts'!C$27)*('Px prices'!E69^'Px wts'!E$27)*('Px prices'!F69^'Px wts'!F$27)*('Px prices'!D69^'Px wts'!D$27)</f>
        <v>24.114554994582655</v>
      </c>
      <c r="W70" s="65"/>
      <c r="X70" s="65"/>
      <c r="Y70" s="65"/>
      <c r="Z70" s="65"/>
      <c r="AA70" s="65"/>
      <c r="AB70" s="65"/>
      <c r="AC70" s="65"/>
    </row>
    <row r="71" spans="1:29">
      <c r="A71" s="4">
        <v>1846</v>
      </c>
      <c r="B71" s="56">
        <f t="shared" si="7"/>
        <v>27.726325929054475</v>
      </c>
      <c r="C71" s="75"/>
      <c r="F71" s="51">
        <f t="shared" si="6"/>
        <v>25.43561519972312</v>
      </c>
      <c r="G71" s="51">
        <f t="shared" si="8"/>
        <v>19.45031000057131</v>
      </c>
      <c r="H71" s="51"/>
      <c r="I71" s="51"/>
      <c r="J71" s="51"/>
      <c r="K71" s="51"/>
      <c r="L71" s="51"/>
      <c r="M71" s="51"/>
      <c r="N71" s="51"/>
      <c r="S71" s="65"/>
      <c r="T71" s="65"/>
      <c r="U71" s="65">
        <f>('Px prices'!B70^'Px wts'!B$25)*('Px prices'!C70^'Px wts'!C$25)*('Px prices'!E70^'Px wts'!E$25)*('Px prices'!F70^'Px wts'!F$25)*('Px prices'!D70^'Px wts'!D$25)</f>
        <v>20.001869568343441</v>
      </c>
      <c r="V71" s="65">
        <f>('Px prices'!B70^'Px wts'!B$27)*('Px prices'!C70^'Px wts'!C$27)*('Px prices'!E70^'Px wts'!E$27)*('Px prices'!F70^'Px wts'!F$27)*('Px prices'!D70^'Px wts'!D$27)</f>
        <v>19.45031000057131</v>
      </c>
      <c r="W71" s="65"/>
      <c r="X71" s="65"/>
      <c r="Y71" s="65"/>
      <c r="Z71" s="65"/>
      <c r="AA71" s="65"/>
      <c r="AB71" s="65"/>
      <c r="AC71" s="65"/>
    </row>
    <row r="72" spans="1:29">
      <c r="A72" s="4">
        <v>1847</v>
      </c>
      <c r="B72" s="56">
        <f t="shared" si="7"/>
        <v>28.67249111342278</v>
      </c>
      <c r="C72" s="75"/>
      <c r="F72" s="51">
        <f t="shared" si="6"/>
        <v>25.813571052817721</v>
      </c>
      <c r="G72" s="51">
        <f t="shared" si="8"/>
        <v>20.495895114735887</v>
      </c>
      <c r="H72" s="51"/>
      <c r="I72" s="51"/>
      <c r="J72" s="51"/>
      <c r="K72" s="51"/>
      <c r="L72" s="51"/>
      <c r="M72" s="51"/>
      <c r="N72" s="51"/>
      <c r="S72" s="65"/>
      <c r="T72" s="65"/>
      <c r="U72" s="65">
        <f>('Px prices'!B71^'Px wts'!B$25)*('Px prices'!C71^'Px wts'!C$25)*('Px prices'!E71^'Px wts'!E$25)*('Px prices'!F71^'Px wts'!F$25)*('Px prices'!D71^'Px wts'!D$25)</f>
        <v>20.29908367607505</v>
      </c>
      <c r="V72" s="65">
        <f>('Px prices'!B71^'Px wts'!B$27)*('Px prices'!C71^'Px wts'!C$27)*('Px prices'!E71^'Px wts'!E$27)*('Px prices'!F71^'Px wts'!F$27)*('Px prices'!D71^'Px wts'!D$27)</f>
        <v>20.495895114735887</v>
      </c>
      <c r="W72" s="65"/>
      <c r="X72" s="65"/>
      <c r="Y72" s="65"/>
      <c r="Z72" s="65"/>
      <c r="AA72" s="65"/>
      <c r="AB72" s="65"/>
      <c r="AC72" s="65"/>
    </row>
    <row r="73" spans="1:29">
      <c r="A73" s="4">
        <v>1848</v>
      </c>
      <c r="B73" s="56">
        <f t="shared" si="7"/>
        <v>25.487481041711213</v>
      </c>
      <c r="C73" s="75"/>
      <c r="F73" s="51">
        <f t="shared" si="6"/>
        <v>23.084974239269393</v>
      </c>
      <c r="G73" s="51">
        <f t="shared" si="8"/>
        <v>18.10958769026632</v>
      </c>
      <c r="H73" s="51"/>
      <c r="I73" s="51"/>
      <c r="J73" s="51"/>
      <c r="K73" s="51"/>
      <c r="L73" s="51"/>
      <c r="M73" s="51"/>
      <c r="N73" s="51"/>
      <c r="S73" s="65"/>
      <c r="T73" s="65"/>
      <c r="U73" s="65">
        <f>('Px prices'!B72^'Px wts'!B$25)*('Px prices'!C72^'Px wts'!C$25)*('Px prices'!E72^'Px wts'!E$25)*('Px prices'!F72^'Px wts'!F$25)*('Px prices'!D72^'Px wts'!D$25)</f>
        <v>18.153390043715596</v>
      </c>
      <c r="V73" s="65">
        <f>('Px prices'!B72^'Px wts'!B$27)*('Px prices'!C72^'Px wts'!C$27)*('Px prices'!E72^'Px wts'!E$27)*('Px prices'!F72^'Px wts'!F$27)*('Px prices'!D72^'Px wts'!D$27)</f>
        <v>18.10958769026632</v>
      </c>
      <c r="W73" s="65"/>
      <c r="X73" s="65"/>
      <c r="Y73" s="65"/>
      <c r="Z73" s="65"/>
      <c r="AA73" s="65"/>
      <c r="AB73" s="65"/>
      <c r="AC73" s="65"/>
    </row>
    <row r="74" spans="1:29">
      <c r="A74" s="4">
        <v>1849</v>
      </c>
      <c r="B74" s="56">
        <f t="shared" si="7"/>
        <v>31.612381621662063</v>
      </c>
      <c r="C74" s="75"/>
      <c r="F74" s="51">
        <f t="shared" si="6"/>
        <v>28.914250851633501</v>
      </c>
      <c r="G74" s="51">
        <f t="shared" si="8"/>
        <v>22.242654351163829</v>
      </c>
      <c r="H74" s="51"/>
      <c r="I74" s="51"/>
      <c r="J74" s="51"/>
      <c r="K74" s="51"/>
      <c r="L74" s="51"/>
      <c r="M74" s="51"/>
      <c r="N74" s="51"/>
      <c r="S74" s="65"/>
      <c r="T74" s="65"/>
      <c r="U74" s="65">
        <f>('Px prices'!B73^'Px wts'!B$25)*('Px prices'!C73^'Px wts'!C$25)*('Px prices'!E73^'Px wts'!E$25)*('Px prices'!F73^'Px wts'!F$25)*('Px prices'!D73^'Px wts'!D$25)</f>
        <v>22.737373154120998</v>
      </c>
      <c r="V74" s="65">
        <f>('Px prices'!B73^'Px wts'!B$27)*('Px prices'!C73^'Px wts'!C$27)*('Px prices'!E73^'Px wts'!E$27)*('Px prices'!F73^'Px wts'!F$27)*('Px prices'!D73^'Px wts'!D$27)</f>
        <v>22.242654351163829</v>
      </c>
      <c r="W74" s="65"/>
      <c r="X74" s="65"/>
      <c r="Y74" s="65"/>
      <c r="Z74" s="65"/>
      <c r="AA74" s="65"/>
      <c r="AB74" s="65"/>
      <c r="AC74" s="65"/>
    </row>
    <row r="75" spans="1:29">
      <c r="A75" s="4">
        <v>1850</v>
      </c>
      <c r="B75" s="56">
        <f t="shared" si="7"/>
        <v>44.067284339688143</v>
      </c>
      <c r="C75" s="75"/>
      <c r="F75" s="51">
        <f t="shared" si="6"/>
        <v>40.880211706458226</v>
      </c>
      <c r="G75" s="51">
        <f t="shared" si="8"/>
        <v>30.570571998626061</v>
      </c>
      <c r="H75" s="51"/>
      <c r="I75" s="51"/>
      <c r="J75" s="51"/>
      <c r="K75" s="51"/>
      <c r="L75" s="51"/>
      <c r="M75" s="51"/>
      <c r="N75" s="51"/>
      <c r="S75" s="65"/>
      <c r="T75" s="65"/>
      <c r="U75" s="65">
        <f>('Px prices'!B74^'Px wts'!B$25)*('Px prices'!C74^'Px wts'!C$25)*('Px prices'!E74^'Px wts'!E$25)*('Px prices'!F74^'Px wts'!F$25)*('Px prices'!D74^'Px wts'!D$25)</f>
        <v>32.147076296693818</v>
      </c>
      <c r="V75" s="65">
        <f>('Px prices'!B74^'Px wts'!B$27)*('Px prices'!C74^'Px wts'!C$27)*('Px prices'!E74^'Px wts'!E$27)*('Px prices'!F74^'Px wts'!F$27)*('Px prices'!D74^'Px wts'!D$27)</f>
        <v>30.570571998626061</v>
      </c>
      <c r="W75" s="65"/>
      <c r="X75" s="65"/>
      <c r="Y75" s="65"/>
      <c r="Z75" s="65"/>
      <c r="AA75" s="65"/>
      <c r="AB75" s="65"/>
      <c r="AC75" s="65"/>
    </row>
    <row r="76" spans="1:29">
      <c r="A76" s="4">
        <v>1851</v>
      </c>
      <c r="B76" s="56">
        <f>(G76/G$89)*B$89</f>
        <v>46.208843862039089</v>
      </c>
      <c r="C76" s="75"/>
      <c r="F76" s="51">
        <f t="shared" si="6"/>
        <v>42.593846921289831</v>
      </c>
      <c r="G76" s="51">
        <f t="shared" si="8"/>
        <v>32.26171609083061</v>
      </c>
      <c r="H76" s="51"/>
      <c r="I76" s="51"/>
      <c r="J76" s="51"/>
      <c r="K76" s="51"/>
      <c r="L76" s="51"/>
      <c r="M76" s="51"/>
      <c r="N76" s="51"/>
      <c r="S76" s="65"/>
      <c r="T76" s="65"/>
      <c r="U76" s="65">
        <f>('Px prices'!B75^'Px wts'!B$25)*('Px prices'!C75^'Px wts'!C$25)*('Px prices'!E75^'Px wts'!E$25)*('Px prices'!F75^'Px wts'!F$25)*('Px prices'!D75^'Px wts'!D$25)</f>
        <v>33.494631989199938</v>
      </c>
      <c r="V76" s="65">
        <f>('Px prices'!B75^'Px wts'!B$27)*('Px prices'!C75^'Px wts'!C$27)*('Px prices'!E75^'Px wts'!E$27)*('Px prices'!F75^'Px wts'!F$27)*('Px prices'!D75^'Px wts'!D$27)</f>
        <v>32.26171609083061</v>
      </c>
      <c r="AB76" s="65"/>
      <c r="AC76" s="65"/>
    </row>
    <row r="77" spans="1:29">
      <c r="A77" s="4">
        <v>1852</v>
      </c>
      <c r="B77" s="56"/>
      <c r="C77" s="75"/>
      <c r="F77" s="51"/>
      <c r="G77" s="51"/>
      <c r="H77" s="51"/>
      <c r="I77" s="51"/>
      <c r="J77" s="51"/>
      <c r="K77" s="51"/>
      <c r="L77" s="51"/>
      <c r="M77" s="51"/>
      <c r="N77" s="51"/>
      <c r="S77" s="65"/>
      <c r="T77" s="65"/>
      <c r="U77" s="65"/>
      <c r="V77" s="65"/>
      <c r="W77" s="65"/>
      <c r="X77" s="65"/>
      <c r="Y77" s="65"/>
      <c r="Z77" s="65"/>
      <c r="AA77" s="65"/>
      <c r="AB77" s="65"/>
      <c r="AC77" s="65"/>
    </row>
    <row r="78" spans="1:29">
      <c r="A78" s="4">
        <v>1853</v>
      </c>
      <c r="B78" s="56"/>
      <c r="C78" s="75"/>
      <c r="F78" s="51"/>
      <c r="G78" s="51"/>
      <c r="H78" s="51"/>
      <c r="I78" s="51"/>
      <c r="J78" s="51"/>
      <c r="K78" s="51"/>
      <c r="L78" s="51"/>
      <c r="M78" s="51"/>
      <c r="N78" s="51"/>
      <c r="S78" s="65"/>
      <c r="T78" s="65"/>
      <c r="U78" s="65"/>
      <c r="V78" s="65"/>
      <c r="W78" s="65"/>
      <c r="X78" s="65"/>
      <c r="Y78" s="65"/>
      <c r="Z78" s="65"/>
      <c r="AA78" s="65"/>
      <c r="AB78" s="65"/>
      <c r="AC78" s="65"/>
    </row>
    <row r="79" spans="1:29">
      <c r="A79" s="4">
        <v>1854</v>
      </c>
      <c r="B79" s="56"/>
      <c r="C79" s="75"/>
      <c r="F79" s="51"/>
      <c r="G79" s="51"/>
      <c r="H79" s="51"/>
      <c r="I79" s="51"/>
      <c r="J79" s="51"/>
      <c r="K79" s="51"/>
      <c r="L79" s="51"/>
      <c r="M79" s="51"/>
      <c r="N79" s="51"/>
      <c r="S79" s="65"/>
      <c r="T79" s="65"/>
      <c r="U79" s="65"/>
      <c r="V79" s="65"/>
      <c r="W79" s="65"/>
      <c r="X79" s="65"/>
      <c r="Y79" s="65"/>
      <c r="Z79" s="65"/>
      <c r="AA79" s="65"/>
      <c r="AB79" s="65"/>
      <c r="AC79" s="65"/>
    </row>
    <row r="80" spans="1:29">
      <c r="A80" s="4">
        <v>1855</v>
      </c>
      <c r="B80" s="56"/>
      <c r="C80" s="75"/>
      <c r="F80" s="51"/>
      <c r="G80" s="51"/>
      <c r="H80" s="51"/>
      <c r="I80" s="51"/>
      <c r="J80" s="51"/>
      <c r="K80" s="51"/>
      <c r="L80" s="51"/>
      <c r="M80" s="51"/>
      <c r="N80" s="51"/>
      <c r="S80" s="65"/>
      <c r="T80" s="65"/>
      <c r="U80" s="65"/>
      <c r="V80" s="65"/>
      <c r="W80" s="65"/>
      <c r="X80" s="65"/>
      <c r="Y80" s="65"/>
      <c r="Z80" s="65"/>
      <c r="AA80" s="65"/>
      <c r="AB80" s="65"/>
      <c r="AC80" s="65"/>
    </row>
    <row r="81" spans="1:29">
      <c r="A81" s="4">
        <v>1856</v>
      </c>
      <c r="B81" s="56"/>
      <c r="C81" s="75"/>
      <c r="F81" s="51"/>
      <c r="G81" s="51"/>
      <c r="H81" s="51"/>
      <c r="I81" s="51"/>
      <c r="J81" s="51"/>
      <c r="K81" s="51"/>
      <c r="L81" s="51"/>
      <c r="M81" s="51"/>
      <c r="N81" s="51"/>
      <c r="S81" s="65"/>
      <c r="T81" s="65"/>
      <c r="U81" s="65"/>
      <c r="V81" s="65"/>
      <c r="W81" s="65"/>
      <c r="X81" s="65"/>
      <c r="Y81" s="65"/>
      <c r="Z81" s="65"/>
      <c r="AA81" s="65"/>
      <c r="AB81" s="65"/>
      <c r="AC81" s="65"/>
    </row>
    <row r="82" spans="1:29">
      <c r="A82" s="4">
        <v>1857</v>
      </c>
      <c r="B82" s="56"/>
      <c r="C82" s="75"/>
      <c r="F82" s="51"/>
      <c r="G82" s="51"/>
      <c r="H82" s="51"/>
      <c r="I82" s="51"/>
      <c r="J82" s="51"/>
      <c r="K82" s="51"/>
      <c r="L82" s="51"/>
      <c r="M82" s="51"/>
      <c r="N82" s="51"/>
      <c r="S82" s="65"/>
      <c r="T82" s="65"/>
      <c r="U82" s="65"/>
      <c r="V82" s="65"/>
      <c r="W82" s="65"/>
      <c r="X82" s="65"/>
      <c r="Y82" s="65"/>
      <c r="Z82" s="65"/>
      <c r="AA82" s="65"/>
      <c r="AB82" s="65"/>
      <c r="AC82" s="65"/>
    </row>
    <row r="83" spans="1:29">
      <c r="A83" s="4">
        <v>1858</v>
      </c>
      <c r="B83" s="56"/>
      <c r="C83" s="75"/>
      <c r="F83" s="51"/>
      <c r="G83" s="51"/>
      <c r="H83" s="51"/>
      <c r="I83" s="51"/>
      <c r="J83" s="51"/>
      <c r="K83" s="51"/>
      <c r="L83" s="51"/>
      <c r="M83" s="51"/>
      <c r="N83" s="51"/>
      <c r="S83" s="65"/>
      <c r="T83" s="65"/>
      <c r="U83" s="65"/>
      <c r="V83" s="65"/>
      <c r="W83" s="65"/>
      <c r="X83" s="65"/>
      <c r="Y83" s="65"/>
      <c r="Z83" s="65"/>
      <c r="AA83" s="65"/>
      <c r="AB83" s="65"/>
      <c r="AC83" s="65"/>
    </row>
    <row r="84" spans="1:29">
      <c r="A84" s="4">
        <v>1859</v>
      </c>
      <c r="B84" s="56"/>
      <c r="C84" s="75"/>
      <c r="F84" s="51"/>
      <c r="G84" s="51"/>
      <c r="H84" s="51"/>
      <c r="I84" s="51"/>
      <c r="J84" s="51"/>
      <c r="K84" s="51"/>
      <c r="L84" s="51"/>
      <c r="M84" s="51"/>
      <c r="N84" s="51"/>
      <c r="S84" s="65"/>
      <c r="T84" s="65"/>
      <c r="U84" s="65"/>
      <c r="V84" s="65"/>
      <c r="W84" s="65"/>
      <c r="X84" s="65"/>
      <c r="Y84" s="65"/>
      <c r="Z84" s="65"/>
      <c r="AA84" s="65"/>
      <c r="AB84" s="65"/>
      <c r="AC84" s="65"/>
    </row>
    <row r="85" spans="1:29">
      <c r="A85" s="4">
        <v>1860</v>
      </c>
      <c r="B85" s="56"/>
      <c r="C85" s="75"/>
      <c r="F85" s="51"/>
      <c r="G85" s="51"/>
      <c r="H85" s="51"/>
      <c r="I85" s="51"/>
      <c r="J85" s="51"/>
      <c r="K85" s="51"/>
      <c r="L85" s="51"/>
      <c r="M85" s="51"/>
      <c r="N85" s="51"/>
      <c r="S85" s="65"/>
      <c r="T85" s="65"/>
      <c r="U85" s="65"/>
      <c r="V85" s="65"/>
      <c r="W85" s="65"/>
      <c r="X85" s="65"/>
      <c r="Y85" s="65"/>
      <c r="Z85" s="65"/>
      <c r="AA85" s="65"/>
      <c r="AB85" s="65"/>
      <c r="AC85" s="65"/>
    </row>
    <row r="86" spans="1:29">
      <c r="A86" s="4">
        <v>1861</v>
      </c>
      <c r="B86" s="56"/>
      <c r="C86" s="75"/>
      <c r="F86" s="51"/>
      <c r="G86" s="51"/>
      <c r="H86" s="51"/>
      <c r="I86" s="51"/>
      <c r="J86" s="51"/>
      <c r="K86" s="51"/>
      <c r="L86" s="51"/>
      <c r="M86" s="51"/>
      <c r="N86" s="51"/>
      <c r="S86" s="65"/>
      <c r="T86" s="65"/>
      <c r="U86" s="65"/>
      <c r="V86" s="65"/>
      <c r="W86" s="65"/>
      <c r="X86" s="65"/>
      <c r="Y86" s="65"/>
      <c r="Z86" s="65"/>
      <c r="AA86" s="65"/>
      <c r="AB86" s="65"/>
      <c r="AC86" s="65"/>
    </row>
    <row r="87" spans="1:29">
      <c r="A87" s="4">
        <v>1862</v>
      </c>
      <c r="B87" s="56"/>
      <c r="C87" s="75"/>
      <c r="F87" s="51"/>
      <c r="G87" s="51"/>
      <c r="H87" s="51"/>
      <c r="I87" s="51"/>
      <c r="J87" s="51"/>
      <c r="K87" s="51"/>
      <c r="L87" s="51"/>
      <c r="M87" s="51"/>
      <c r="N87" s="51"/>
      <c r="S87" s="65"/>
      <c r="T87" s="65"/>
      <c r="U87" s="65"/>
      <c r="V87" s="65"/>
      <c r="W87" s="65"/>
      <c r="X87" s="65"/>
      <c r="Y87" s="65"/>
      <c r="Z87" s="65"/>
      <c r="AA87" s="65"/>
      <c r="AB87" s="65"/>
      <c r="AC87" s="65"/>
    </row>
    <row r="88" spans="1:29">
      <c r="A88" s="4">
        <v>1863</v>
      </c>
      <c r="B88" s="56"/>
      <c r="C88" s="75"/>
      <c r="F88" s="51"/>
      <c r="G88" s="51"/>
      <c r="H88" s="51"/>
      <c r="I88" s="51"/>
      <c r="J88" s="51"/>
      <c r="K88" s="51"/>
      <c r="L88" s="51"/>
      <c r="M88" s="51"/>
      <c r="N88" s="51"/>
      <c r="S88" s="65"/>
      <c r="T88" s="65"/>
      <c r="U88" s="65"/>
      <c r="V88" s="65"/>
      <c r="W88" s="65"/>
      <c r="X88" s="65"/>
      <c r="Y88" s="65"/>
      <c r="Z88" s="65"/>
      <c r="AA88" s="65"/>
      <c r="AB88" s="65"/>
      <c r="AC88" s="65"/>
    </row>
    <row r="89" spans="1:29">
      <c r="A89" s="4">
        <v>1864</v>
      </c>
      <c r="B89" s="56">
        <f>(GEOMEAN(G89:H89)/GEOMEAN(G$91:H$91))*B$91</f>
        <v>70.358257689960098</v>
      </c>
      <c r="C89" s="75"/>
      <c r="F89" s="51"/>
      <c r="G89" s="51">
        <f>V89</f>
        <v>49.122158109298944</v>
      </c>
      <c r="H89" s="51">
        <f t="shared" ref="H89:H106" si="9">X89</f>
        <v>48.877924493906519</v>
      </c>
      <c r="I89" s="51"/>
      <c r="J89" s="51"/>
      <c r="K89" s="51"/>
      <c r="L89" s="51"/>
      <c r="M89" s="51"/>
      <c r="N89" s="51"/>
      <c r="S89" s="65"/>
      <c r="T89" s="65"/>
      <c r="U89" s="65"/>
      <c r="V89" s="65">
        <f>('Px prices'!B88^'Px wts'!B$27)*('Px prices'!C88^'Px wts'!C$27)*('Px prices'!E88^'Px wts'!E$27)*('Px prices'!F88^'Px wts'!F$27)*('Px prices'!D88^'Px wts'!D$27)</f>
        <v>49.122158109298944</v>
      </c>
      <c r="W89" s="65">
        <f>('Px prices'!B88^'Px wts'!B$28)*('Px prices'!C88^'Px wts'!C$28)*('Px prices'!E88^'Px wts'!E$28)*('Px prices'!F88^'Px wts'!F$28)*('Px prices'!D88^'Px wts'!D$28)*('Px prices'!H88^'Px wts'!H$28)</f>
        <v>49.27091513306874</v>
      </c>
      <c r="X89" s="65">
        <f>('Px prices'!B88^'Px wts'!B$29)*('Px prices'!C88^'Px wts'!C$29)*('Px prices'!E88^'Px wts'!E$29)*('Px prices'!F88^'Px wts'!F$29)*('Px prices'!D88^'Px wts'!D$29)*('Px prices'!H88^'Px wts'!H$29)*('Px prices'!G88^'Px wts'!G$29)</f>
        <v>48.877924493906519</v>
      </c>
      <c r="Y89" s="65"/>
      <c r="Z89" s="65"/>
      <c r="AA89" s="65"/>
      <c r="AB89" s="65"/>
      <c r="AC89" s="65"/>
    </row>
    <row r="90" spans="1:29">
      <c r="A90" s="4">
        <v>1865</v>
      </c>
      <c r="B90" s="56">
        <f>(GEOMEAN(G90:H90)/GEOMEAN(G$91:H$91))*B$91</f>
        <v>65.327003052201562</v>
      </c>
      <c r="C90" s="75"/>
      <c r="F90" s="51"/>
      <c r="G90" s="51">
        <f>(W90/W$89)*G$89</f>
        <v>43.797619380349772</v>
      </c>
      <c r="H90" s="51">
        <f t="shared" si="9"/>
        <v>47.260140338424009</v>
      </c>
      <c r="I90" s="51"/>
      <c r="J90" s="51"/>
      <c r="K90" s="51"/>
      <c r="L90" s="51"/>
      <c r="M90" s="51"/>
      <c r="N90" s="51"/>
      <c r="S90" s="65"/>
      <c r="T90" s="65"/>
      <c r="U90" s="65"/>
      <c r="V90" s="65"/>
      <c r="W90" s="65">
        <f>('Px prices'!B89^'Px wts'!B$28)*('Px prices'!C89^'Px wts'!C$28)*('Px prices'!E89^'Px wts'!E$28)*('Px prices'!F89^'Px wts'!F$28)*('Px prices'!D89^'Px wts'!D$28)*('Px prices'!H89^'Px wts'!H$28)</f>
        <v>43.930252060956491</v>
      </c>
      <c r="X90" s="65">
        <f>('Px prices'!B89^'Px wts'!B$29)*('Px prices'!C89^'Px wts'!C$29)*('Px prices'!E89^'Px wts'!E$29)*('Px prices'!F89^'Px wts'!F$29)*('Px prices'!D89^'Px wts'!D$29)*('Px prices'!H89^'Px wts'!H$29)*('Px prices'!G89^'Px wts'!G$29)</f>
        <v>47.260140338424009</v>
      </c>
      <c r="Y90" s="65"/>
      <c r="Z90" s="65"/>
      <c r="AA90" s="65"/>
      <c r="AB90" s="65"/>
      <c r="AC90" s="65"/>
    </row>
    <row r="91" spans="1:29">
      <c r="A91" s="4">
        <v>1866</v>
      </c>
      <c r="B91" s="56">
        <f t="shared" ref="B91:B105" si="10">(GEOMEAN(H91:I91)/GEOMEAN(H$106:I$106))*B$106</f>
        <v>68.465960158298586</v>
      </c>
      <c r="C91" s="75"/>
      <c r="F91" s="51"/>
      <c r="G91" s="51">
        <f>(W91/W$89)*G$89</f>
        <v>46.721549987028048</v>
      </c>
      <c r="H91" s="51">
        <f t="shared" si="9"/>
        <v>48.662252309150581</v>
      </c>
      <c r="I91" s="51">
        <f t="shared" ref="I91:I104" si="11">Y91</f>
        <v>46.130421811266032</v>
      </c>
      <c r="J91" s="51"/>
      <c r="K91" s="51"/>
      <c r="L91" s="51"/>
      <c r="M91" s="51"/>
      <c r="N91" s="51"/>
      <c r="S91" s="65"/>
      <c r="T91" s="65"/>
      <c r="U91" s="65"/>
      <c r="V91" s="65"/>
      <c r="W91" s="65">
        <f>('Px prices'!B90^'Px wts'!B$28)*('Px prices'!C90^'Px wts'!C$28)*('Px prices'!E90^'Px wts'!E$28)*('Px prices'!F90^'Px wts'!F$28)*('Px prices'!D90^'Px wts'!D$28)*('Px prices'!H90^'Px wts'!H$28)</f>
        <v>46.86303723004611</v>
      </c>
      <c r="X91" s="65">
        <f>('Px prices'!B90^'Px wts'!B$29)*('Px prices'!C90^'Px wts'!C$29)*('Px prices'!E90^'Px wts'!E$29)*('Px prices'!F90^'Px wts'!F$29)*('Px prices'!D90^'Px wts'!D$29)*('Px prices'!H90^'Px wts'!H$29)*('Px prices'!G90^'Px wts'!G$29)</f>
        <v>48.662252309150581</v>
      </c>
      <c r="Y91" s="65">
        <f>('Px prices'!B90^'Px wts'!B$31)*('Px prices'!C90^'Px wts'!C$31)*('Px prices'!E90^'Px wts'!E$31)*('Px prices'!F90^'Px wts'!F$31)*('Px prices'!D90^'Px wts'!D$31)*('Px prices'!H90^'Px wts'!H$31)*('Px prices'!G90^'Px wts'!G$31)</f>
        <v>46.130421811266032</v>
      </c>
      <c r="Z91" s="65"/>
      <c r="AA91" s="65"/>
      <c r="AB91" s="65"/>
      <c r="AC91" s="65"/>
    </row>
    <row r="92" spans="1:29">
      <c r="A92" s="4">
        <v>1867</v>
      </c>
      <c r="B92" s="56">
        <f t="shared" si="10"/>
        <v>63.415823617547126</v>
      </c>
      <c r="C92" s="75"/>
      <c r="F92" s="51"/>
      <c r="G92" s="51"/>
      <c r="H92" s="51">
        <f t="shared" si="9"/>
        <v>45.523086667438299</v>
      </c>
      <c r="I92" s="51">
        <f t="shared" si="11"/>
        <v>42.305204517279776</v>
      </c>
      <c r="J92" s="51"/>
      <c r="K92" s="51"/>
      <c r="L92" s="51"/>
      <c r="M92" s="51"/>
      <c r="N92" s="51"/>
      <c r="S92" s="65"/>
      <c r="T92" s="65"/>
      <c r="U92" s="65"/>
      <c r="V92" s="65"/>
      <c r="W92" s="65"/>
      <c r="X92" s="65">
        <f>('Px prices'!B91^'Px wts'!B$29)*('Px prices'!C91^'Px wts'!C$29)*('Px prices'!E91^'Px wts'!E$29)*('Px prices'!F91^'Px wts'!F$29)*('Px prices'!D91^'Px wts'!D$29)*('Px prices'!H91^'Px wts'!H$29)*('Px prices'!G91^'Px wts'!G$29)</f>
        <v>45.523086667438299</v>
      </c>
      <c r="Y92" s="65">
        <f>('Px prices'!B91^'Px wts'!B$31)*('Px prices'!C91^'Px wts'!C$31)*('Px prices'!E91^'Px wts'!E$31)*('Px prices'!F91^'Px wts'!F$31)*('Px prices'!D91^'Px wts'!D$31)*('Px prices'!H91^'Px wts'!H$31)*('Px prices'!G91^'Px wts'!G$31)</f>
        <v>42.305204517279776</v>
      </c>
      <c r="Z92" s="65"/>
      <c r="AA92" s="65"/>
      <c r="AB92" s="65"/>
      <c r="AC92" s="65"/>
    </row>
    <row r="93" spans="1:29">
      <c r="A93" s="4">
        <v>1868</v>
      </c>
      <c r="B93" s="56">
        <f t="shared" si="10"/>
        <v>61.751319680363927</v>
      </c>
      <c r="C93" s="75"/>
      <c r="F93" s="51"/>
      <c r="G93" s="51"/>
      <c r="H93" s="51">
        <f t="shared" si="9"/>
        <v>44.666857546953757</v>
      </c>
      <c r="I93" s="51">
        <f t="shared" si="11"/>
        <v>40.882487523904203</v>
      </c>
      <c r="J93" s="51"/>
      <c r="K93" s="51"/>
      <c r="L93" s="51"/>
      <c r="M93" s="51"/>
      <c r="N93" s="51"/>
      <c r="S93" s="65"/>
      <c r="T93" s="65"/>
      <c r="U93" s="65"/>
      <c r="V93" s="65"/>
      <c r="W93" s="65"/>
      <c r="X93" s="65">
        <f>('Px prices'!B92^'Px wts'!B$29)*('Px prices'!C92^'Px wts'!C$29)*('Px prices'!E92^'Px wts'!E$29)*('Px prices'!F92^'Px wts'!F$29)*('Px prices'!D92^'Px wts'!D$29)*('Px prices'!H92^'Px wts'!H$29)*('Px prices'!G92^'Px wts'!G$29)</f>
        <v>44.666857546953757</v>
      </c>
      <c r="Y93" s="65">
        <f>('Px prices'!B92^'Px wts'!B$31)*('Px prices'!C92^'Px wts'!C$31)*('Px prices'!E92^'Px wts'!E$31)*('Px prices'!F92^'Px wts'!F$31)*('Px prices'!D92^'Px wts'!D$31)*('Px prices'!H92^'Px wts'!H$31)*('Px prices'!G92^'Px wts'!G$31)</f>
        <v>40.882487523904203</v>
      </c>
      <c r="Z93" s="65"/>
      <c r="AA93" s="65"/>
      <c r="AB93" s="65"/>
      <c r="AC93" s="65"/>
    </row>
    <row r="94" spans="1:29">
      <c r="A94" s="4">
        <v>1869</v>
      </c>
      <c r="B94" s="56">
        <f t="shared" si="10"/>
        <v>59.20088383576401</v>
      </c>
      <c r="C94" s="75"/>
      <c r="F94" s="51"/>
      <c r="G94" s="51"/>
      <c r="H94" s="51">
        <f t="shared" si="9"/>
        <v>42.976008074497038</v>
      </c>
      <c r="I94" s="51">
        <f t="shared" si="11"/>
        <v>39.05355149686357</v>
      </c>
      <c r="J94" s="51"/>
      <c r="K94" s="51"/>
      <c r="L94" s="51"/>
      <c r="M94" s="51"/>
      <c r="N94" s="51"/>
      <c r="S94" s="65"/>
      <c r="T94" s="65"/>
      <c r="U94" s="65"/>
      <c r="V94" s="65"/>
      <c r="W94" s="65"/>
      <c r="X94" s="65">
        <f>('Px prices'!B93^'Px wts'!B$29)*('Px prices'!C93^'Px wts'!C$29)*('Px prices'!E93^'Px wts'!E$29)*('Px prices'!F93^'Px wts'!F$29)*('Px prices'!D93^'Px wts'!D$29)*('Px prices'!H93^'Px wts'!H$29)*('Px prices'!G93^'Px wts'!G$29)</f>
        <v>42.976008074497038</v>
      </c>
      <c r="Y94" s="65">
        <f>('Px prices'!B93^'Px wts'!B$31)*('Px prices'!C93^'Px wts'!C$31)*('Px prices'!E93^'Px wts'!E$31)*('Px prices'!F93^'Px wts'!F$31)*('Px prices'!D93^'Px wts'!D$31)*('Px prices'!H93^'Px wts'!H$31)*('Px prices'!G93^'Px wts'!G$31)</f>
        <v>39.05355149686357</v>
      </c>
      <c r="Z94" s="65"/>
      <c r="AA94" s="65"/>
      <c r="AB94" s="65"/>
      <c r="AC94" s="65"/>
    </row>
    <row r="95" spans="1:29">
      <c r="A95" s="4">
        <v>1870</v>
      </c>
      <c r="B95" s="56">
        <f t="shared" si="10"/>
        <v>65.889918368236991</v>
      </c>
      <c r="C95" s="75"/>
      <c r="F95" s="51"/>
      <c r="G95" s="51"/>
      <c r="H95" s="51">
        <f t="shared" si="9"/>
        <v>47.363671428199147</v>
      </c>
      <c r="I95" s="51">
        <f t="shared" si="11"/>
        <v>43.895783501809071</v>
      </c>
      <c r="J95" s="51"/>
      <c r="K95" s="51"/>
      <c r="L95" s="51"/>
      <c r="M95" s="51"/>
      <c r="N95" s="51"/>
      <c r="S95" s="65"/>
      <c r="T95" s="65"/>
      <c r="U95" s="65"/>
      <c r="V95" s="65"/>
      <c r="W95" s="65"/>
      <c r="X95" s="65">
        <f>('Px prices'!B94^'Px wts'!B$29)*('Px prices'!C94^'Px wts'!C$29)*('Px prices'!E94^'Px wts'!E$29)*('Px prices'!F94^'Px wts'!F$29)*('Px prices'!D94^'Px wts'!D$29)*('Px prices'!H94^'Px wts'!H$29)*('Px prices'!G94^'Px wts'!G$29)</f>
        <v>47.363671428199147</v>
      </c>
      <c r="Y95" s="65">
        <f>('Px prices'!B94^'Px wts'!B$31)*('Px prices'!C94^'Px wts'!C$31)*('Px prices'!E94^'Px wts'!E$31)*('Px prices'!F94^'Px wts'!F$31)*('Px prices'!D94^'Px wts'!D$31)*('Px prices'!H94^'Px wts'!H$31)*('Px prices'!G94^'Px wts'!G$31)</f>
        <v>43.895783501809071</v>
      </c>
      <c r="Z95" s="65"/>
      <c r="AA95" s="65"/>
      <c r="AB95" s="65"/>
      <c r="AC95" s="65"/>
    </row>
    <row r="96" spans="1:29">
      <c r="A96" s="4">
        <v>1871</v>
      </c>
      <c r="B96" s="56">
        <f t="shared" si="10"/>
        <v>75.132947509829393</v>
      </c>
      <c r="C96" s="75"/>
      <c r="F96" s="51"/>
      <c r="G96" s="51"/>
      <c r="H96" s="51">
        <f t="shared" si="9"/>
        <v>53.436933955902859</v>
      </c>
      <c r="I96" s="51">
        <f t="shared" si="11"/>
        <v>50.588237378893886</v>
      </c>
      <c r="J96" s="51"/>
      <c r="K96" s="51"/>
      <c r="L96" s="51"/>
      <c r="M96" s="51"/>
      <c r="N96" s="51"/>
      <c r="S96" s="65"/>
      <c r="T96" s="65"/>
      <c r="U96" s="65"/>
      <c r="V96" s="65"/>
      <c r="W96" s="65"/>
      <c r="X96" s="65">
        <f>('Px prices'!B95^'Px wts'!B$29)*('Px prices'!C95^'Px wts'!C$29)*('Px prices'!E95^'Px wts'!E$29)*('Px prices'!F95^'Px wts'!F$29)*('Px prices'!D95^'Px wts'!D$29)*('Px prices'!H95^'Px wts'!H$29)*('Px prices'!G95^'Px wts'!G$29)</f>
        <v>53.436933955902859</v>
      </c>
      <c r="Y96" s="65">
        <f>('Px prices'!B95^'Px wts'!B$31)*('Px prices'!C95^'Px wts'!C$31)*('Px prices'!E95^'Px wts'!E$31)*('Px prices'!F95^'Px wts'!F$31)*('Px prices'!D95^'Px wts'!D$31)*('Px prices'!H95^'Px wts'!H$31)*('Px prices'!G95^'Px wts'!G$31)</f>
        <v>50.588237378893886</v>
      </c>
      <c r="Z96" s="65"/>
      <c r="AA96" s="65"/>
      <c r="AB96" s="65"/>
      <c r="AC96" s="65"/>
    </row>
    <row r="97" spans="1:31">
      <c r="A97" s="4">
        <v>1872</v>
      </c>
      <c r="B97" s="56">
        <f t="shared" si="10"/>
        <v>90.135292573252357</v>
      </c>
      <c r="C97" s="75"/>
      <c r="F97" s="51"/>
      <c r="G97" s="51"/>
      <c r="H97" s="51">
        <f t="shared" si="9"/>
        <v>63.990662416479104</v>
      </c>
      <c r="I97" s="51">
        <f t="shared" si="11"/>
        <v>60.799970072240463</v>
      </c>
      <c r="J97" s="51"/>
      <c r="K97" s="51"/>
      <c r="L97" s="51"/>
      <c r="M97" s="51"/>
      <c r="N97" s="51"/>
      <c r="S97" s="65"/>
      <c r="T97" s="65"/>
      <c r="U97" s="65"/>
      <c r="V97" s="65"/>
      <c r="W97" s="65"/>
      <c r="X97" s="65">
        <f>('Px prices'!B96^'Px wts'!B$29)*('Px prices'!C96^'Px wts'!C$29)*('Px prices'!E96^'Px wts'!E$29)*('Px prices'!F96^'Px wts'!F$29)*('Px prices'!D96^'Px wts'!D$29)*('Px prices'!H96^'Px wts'!H$29)*('Px prices'!G96^'Px wts'!G$29)</f>
        <v>63.990662416479104</v>
      </c>
      <c r="Y97" s="65">
        <f>('Px prices'!B96^'Px wts'!B$31)*('Px prices'!C96^'Px wts'!C$31)*('Px prices'!E96^'Px wts'!E$31)*('Px prices'!F96^'Px wts'!F$31)*('Px prices'!D96^'Px wts'!D$31)*('Px prices'!H96^'Px wts'!H$31)*('Px prices'!G96^'Px wts'!G$31)</f>
        <v>60.799970072240463</v>
      </c>
      <c r="Z97" s="65"/>
      <c r="AA97" s="65"/>
      <c r="AB97" s="65"/>
      <c r="AC97" s="65"/>
    </row>
    <row r="98" spans="1:31">
      <c r="A98" s="4">
        <v>1873</v>
      </c>
      <c r="B98" s="56">
        <f t="shared" si="10"/>
        <v>82.592385085378936</v>
      </c>
      <c r="C98" s="75"/>
      <c r="F98" s="51"/>
      <c r="G98" s="51"/>
      <c r="H98" s="51">
        <f t="shared" si="9"/>
        <v>59.143463318589717</v>
      </c>
      <c r="I98" s="51">
        <f t="shared" si="11"/>
        <v>55.233617628282893</v>
      </c>
      <c r="J98" s="51"/>
      <c r="K98" s="51"/>
      <c r="L98" s="51"/>
      <c r="M98" s="51"/>
      <c r="N98" s="51"/>
      <c r="S98" s="65"/>
      <c r="T98" s="65"/>
      <c r="U98" s="65"/>
      <c r="V98" s="65"/>
      <c r="W98" s="65"/>
      <c r="X98" s="65">
        <f>('Px prices'!B97^'Px wts'!B$29)*('Px prices'!C97^'Px wts'!C$29)*('Px prices'!E97^'Px wts'!E$29)*('Px prices'!F97^'Px wts'!F$29)*('Px prices'!D97^'Px wts'!D$29)*('Px prices'!H97^'Px wts'!H$29)*('Px prices'!G97^'Px wts'!G$29)</f>
        <v>59.143463318589717</v>
      </c>
      <c r="Y98" s="65">
        <f>('Px prices'!B97^'Px wts'!B$31)*('Px prices'!C97^'Px wts'!C$31)*('Px prices'!E97^'Px wts'!E$31)*('Px prices'!F97^'Px wts'!F$31)*('Px prices'!D97^'Px wts'!D$31)*('Px prices'!H97^'Px wts'!H$31)*('Px prices'!G97^'Px wts'!G$31)</f>
        <v>55.233617628282893</v>
      </c>
      <c r="Z98" s="65"/>
      <c r="AA98" s="65"/>
      <c r="AB98" s="65"/>
      <c r="AC98" s="65"/>
    </row>
    <row r="99" spans="1:31">
      <c r="A99" s="4">
        <v>1874</v>
      </c>
      <c r="B99" s="56">
        <f t="shared" si="10"/>
        <v>85.190835179328175</v>
      </c>
      <c r="C99" s="75"/>
      <c r="F99" s="51"/>
      <c r="G99" s="51"/>
      <c r="H99" s="51">
        <f t="shared" si="9"/>
        <v>60.289276256021196</v>
      </c>
      <c r="I99" s="51">
        <f t="shared" si="11"/>
        <v>57.64689330341038</v>
      </c>
      <c r="J99" s="51"/>
      <c r="K99" s="51"/>
      <c r="L99" s="51"/>
      <c r="M99" s="51"/>
      <c r="N99" s="51"/>
      <c r="S99" s="65"/>
      <c r="T99" s="65"/>
      <c r="U99" s="65"/>
      <c r="V99" s="65"/>
      <c r="W99" s="65"/>
      <c r="X99" s="65">
        <f>('Px prices'!B98^'Px wts'!B$29)*('Px prices'!C98^'Px wts'!C$29)*('Px prices'!E98^'Px wts'!E$29)*('Px prices'!F98^'Px wts'!F$29)*('Px prices'!D98^'Px wts'!D$29)*('Px prices'!H98^'Px wts'!H$29)*('Px prices'!G98^'Px wts'!G$29)</f>
        <v>60.289276256021196</v>
      </c>
      <c r="Y99" s="65">
        <f>('Px prices'!B98^'Px wts'!B$31)*('Px prices'!C98^'Px wts'!C$31)*('Px prices'!E98^'Px wts'!E$31)*('Px prices'!F98^'Px wts'!F$31)*('Px prices'!D98^'Px wts'!D$31)*('Px prices'!H98^'Px wts'!H$31)*('Px prices'!G98^'Px wts'!G$31)</f>
        <v>57.64689330341038</v>
      </c>
      <c r="Z99" s="65"/>
      <c r="AA99" s="65"/>
      <c r="AB99" s="65"/>
      <c r="AC99" s="65"/>
    </row>
    <row r="100" spans="1:31">
      <c r="A100" s="4">
        <v>1875</v>
      </c>
      <c r="B100" s="56">
        <f t="shared" si="10"/>
        <v>85.351798023206456</v>
      </c>
      <c r="C100" s="75"/>
      <c r="F100" s="51"/>
      <c r="G100" s="51"/>
      <c r="H100" s="51">
        <f t="shared" si="9"/>
        <v>59.966861639876448</v>
      </c>
      <c r="I100" s="51">
        <f t="shared" si="11"/>
        <v>58.176053155634158</v>
      </c>
      <c r="J100" s="51"/>
      <c r="K100" s="51"/>
      <c r="L100" s="51"/>
      <c r="M100" s="51"/>
      <c r="N100" s="51"/>
      <c r="S100" s="65"/>
      <c r="T100" s="65"/>
      <c r="U100" s="65"/>
      <c r="V100" s="65"/>
      <c r="W100" s="65"/>
      <c r="X100" s="65">
        <f>('Px prices'!B99^'Px wts'!B$29)*('Px prices'!C99^'Px wts'!C$29)*('Px prices'!E99^'Px wts'!E$29)*('Px prices'!F99^'Px wts'!F$29)*('Px prices'!D99^'Px wts'!D$29)*('Px prices'!H99^'Px wts'!H$29)*('Px prices'!G99^'Px wts'!G$29)</f>
        <v>59.966861639876448</v>
      </c>
      <c r="Y100" s="65">
        <f>('Px prices'!B99^'Px wts'!B$31)*('Px prices'!C99^'Px wts'!C$31)*('Px prices'!E99^'Px wts'!E$31)*('Px prices'!F99^'Px wts'!F$31)*('Px prices'!D99^'Px wts'!D$31)*('Px prices'!H99^'Px wts'!H$31)*('Px prices'!G99^'Px wts'!G$31)</f>
        <v>58.176053155634158</v>
      </c>
      <c r="Z100" s="65"/>
      <c r="AA100" s="65"/>
      <c r="AB100" s="65"/>
      <c r="AC100" s="65"/>
    </row>
    <row r="101" spans="1:31">
      <c r="A101" s="4">
        <v>1876</v>
      </c>
      <c r="B101" s="56">
        <f t="shared" si="10"/>
        <v>72.334888089065018</v>
      </c>
      <c r="C101" s="75"/>
      <c r="F101" s="51"/>
      <c r="G101" s="51"/>
      <c r="H101" s="51">
        <f t="shared" si="9"/>
        <v>51.232396077296599</v>
      </c>
      <c r="I101" s="51">
        <f t="shared" si="11"/>
        <v>48.908144412121565</v>
      </c>
      <c r="J101" s="51"/>
      <c r="K101" s="51"/>
      <c r="L101" s="51"/>
      <c r="M101" s="51"/>
      <c r="N101" s="51"/>
      <c r="S101" s="65"/>
      <c r="T101" s="65"/>
      <c r="U101" s="65"/>
      <c r="V101" s="65"/>
      <c r="W101" s="65"/>
      <c r="X101" s="65">
        <f>('Px prices'!B100^'Px wts'!B$29)*('Px prices'!C100^'Px wts'!C$29)*('Px prices'!E100^'Px wts'!E$29)*('Px prices'!F100^'Px wts'!F$29)*('Px prices'!D100^'Px wts'!D$29)*('Px prices'!H100^'Px wts'!H$29)*('Px prices'!G100^'Px wts'!G$29)</f>
        <v>51.232396077296599</v>
      </c>
      <c r="Y101" s="65">
        <f>('Px prices'!B100^'Px wts'!B$31)*('Px prices'!C100^'Px wts'!C$31)*('Px prices'!E100^'Px wts'!E$31)*('Px prices'!F100^'Px wts'!F$31)*('Px prices'!D100^'Px wts'!D$31)*('Px prices'!H100^'Px wts'!H$31)*('Px prices'!G100^'Px wts'!G$31)</f>
        <v>48.908144412121565</v>
      </c>
      <c r="Z101" s="65"/>
      <c r="AA101" s="65"/>
      <c r="AB101" s="65"/>
      <c r="AC101" s="65"/>
    </row>
    <row r="102" spans="1:31">
      <c r="A102" s="4">
        <v>1877</v>
      </c>
      <c r="B102" s="56">
        <f t="shared" si="10"/>
        <v>80.88596002761922</v>
      </c>
      <c r="C102" s="75"/>
      <c r="F102" s="51"/>
      <c r="G102" s="51"/>
      <c r="H102" s="51">
        <f t="shared" si="9"/>
        <v>56.992043689258615</v>
      </c>
      <c r="I102" s="51">
        <f t="shared" si="11"/>
        <v>54.974626077876735</v>
      </c>
      <c r="J102" s="51"/>
      <c r="K102" s="51"/>
      <c r="L102" s="51"/>
      <c r="M102" s="51"/>
      <c r="N102" s="51"/>
      <c r="S102" s="65"/>
      <c r="T102" s="65"/>
      <c r="U102" s="65"/>
      <c r="V102" s="65"/>
      <c r="W102" s="65"/>
      <c r="X102" s="65">
        <f>('Px prices'!B101^'Px wts'!B$29)*('Px prices'!C101^'Px wts'!C$29)*('Px prices'!E101^'Px wts'!E$29)*('Px prices'!F101^'Px wts'!F$29)*('Px prices'!D101^'Px wts'!D$29)*('Px prices'!H101^'Px wts'!H$29)*('Px prices'!G101^'Px wts'!G$29)</f>
        <v>56.992043689258615</v>
      </c>
      <c r="Y102" s="65">
        <f>('Px prices'!B101^'Px wts'!B$31)*('Px prices'!C101^'Px wts'!C$31)*('Px prices'!E101^'Px wts'!E$31)*('Px prices'!F101^'Px wts'!F$31)*('Px prices'!D101^'Px wts'!D$31)*('Px prices'!H101^'Px wts'!H$31)*('Px prices'!G101^'Px wts'!G$31)</f>
        <v>54.974626077876735</v>
      </c>
      <c r="Z102" s="65"/>
      <c r="AA102" s="65"/>
      <c r="AB102" s="65"/>
      <c r="AC102" s="65"/>
    </row>
    <row r="103" spans="1:31">
      <c r="A103" s="4">
        <v>1878</v>
      </c>
      <c r="B103" s="56">
        <f t="shared" si="10"/>
        <v>77.052882665906779</v>
      </c>
      <c r="C103" s="75"/>
      <c r="F103" s="51"/>
      <c r="G103" s="51"/>
      <c r="H103" s="51">
        <f t="shared" si="9"/>
        <v>54.204021289161268</v>
      </c>
      <c r="I103" s="51">
        <f t="shared" si="11"/>
        <v>52.45374500312483</v>
      </c>
      <c r="J103" s="51"/>
      <c r="K103" s="51"/>
      <c r="L103" s="51"/>
      <c r="M103" s="51"/>
      <c r="N103" s="51"/>
      <c r="S103" s="65"/>
      <c r="T103" s="65"/>
      <c r="U103" s="65"/>
      <c r="V103" s="65"/>
      <c r="W103" s="65"/>
      <c r="X103" s="65">
        <f>('Px prices'!B102^'Px wts'!B$29)*('Px prices'!C102^'Px wts'!C$29)*('Px prices'!E102^'Px wts'!E$29)*('Px prices'!F102^'Px wts'!F$29)*('Px prices'!D102^'Px wts'!D$29)*('Px prices'!H102^'Px wts'!H$29)*('Px prices'!G102^'Px wts'!G$29)</f>
        <v>54.204021289161268</v>
      </c>
      <c r="Y103" s="65">
        <f>('Px prices'!B102^'Px wts'!B$31)*('Px prices'!C102^'Px wts'!C$31)*('Px prices'!E102^'Px wts'!E$31)*('Px prices'!F102^'Px wts'!F$31)*('Px prices'!D102^'Px wts'!D$31)*('Px prices'!H102^'Px wts'!H$31)*('Px prices'!G102^'Px wts'!G$31)</f>
        <v>52.45374500312483</v>
      </c>
      <c r="Z103" s="65"/>
      <c r="AA103" s="65"/>
      <c r="AB103" s="65"/>
      <c r="AC103" s="65"/>
    </row>
    <row r="104" spans="1:31">
      <c r="A104" s="4">
        <v>1879</v>
      </c>
      <c r="B104" s="56">
        <f t="shared" si="10"/>
        <v>84.574094011728974</v>
      </c>
      <c r="C104" s="75"/>
      <c r="F104" s="51"/>
      <c r="G104" s="51"/>
      <c r="H104" s="51">
        <f t="shared" si="9"/>
        <v>58.981259822530355</v>
      </c>
      <c r="I104" s="51">
        <f t="shared" si="11"/>
        <v>58.07522345381831</v>
      </c>
      <c r="J104" s="51"/>
      <c r="K104" s="51"/>
      <c r="L104" s="51"/>
      <c r="M104" s="51"/>
      <c r="N104" s="51"/>
      <c r="S104" s="65"/>
      <c r="T104" s="65"/>
      <c r="U104" s="65"/>
      <c r="V104" s="65"/>
      <c r="W104" s="65"/>
      <c r="X104" s="65">
        <f>('Px prices'!B103^'Px wts'!B$29)*('Px prices'!C103^'Px wts'!C$29)*('Px prices'!E103^'Px wts'!E$29)*('Px prices'!F103^'Px wts'!F$29)*('Px prices'!D103^'Px wts'!D$29)*('Px prices'!H103^'Px wts'!H$29)*('Px prices'!G103^'Px wts'!G$29)</f>
        <v>58.981259822530355</v>
      </c>
      <c r="Y104" s="65">
        <f>('Px prices'!B103^'Px wts'!B$31)*('Px prices'!C103^'Px wts'!C$31)*('Px prices'!E103^'Px wts'!E$31)*('Px prices'!F103^'Px wts'!F$31)*('Px prices'!D103^'Px wts'!D$31)*('Px prices'!H103^'Px wts'!H$31)*('Px prices'!G103^'Px wts'!G$31)</f>
        <v>58.07522345381831</v>
      </c>
      <c r="Z104" s="65">
        <f>('Px prices'!B103^'Px wts'!B$32)*('Px prices'!C103^'Px wts'!C$32)*('Px prices'!E103^'Px wts'!E$32)*('Px prices'!F103^'Px wts'!F$32)*('Px prices'!D103^'Px wts'!D$32)*('Px prices'!H103^'Px wts'!H$32)*('Px prices'!G103^'Px wts'!G$32)*('Px prices'!I103^'Px wts'!I$32)</f>
        <v>58.053540013096871</v>
      </c>
      <c r="AA104" s="65"/>
      <c r="AB104" s="65"/>
      <c r="AC104" s="65"/>
    </row>
    <row r="105" spans="1:31">
      <c r="A105" s="4">
        <v>1880</v>
      </c>
      <c r="B105" s="56">
        <f t="shared" si="10"/>
        <v>80.447023097082834</v>
      </c>
      <c r="C105" s="75"/>
      <c r="F105" s="51"/>
      <c r="G105" s="51"/>
      <c r="H105" s="51">
        <f t="shared" si="9"/>
        <v>56.262970593581116</v>
      </c>
      <c r="I105" s="51">
        <f>(Z105/Z$104)*I$104</f>
        <v>55.084260462336744</v>
      </c>
      <c r="J105" s="51"/>
      <c r="K105" s="51"/>
      <c r="L105" s="51"/>
      <c r="M105" s="51"/>
      <c r="N105" s="51"/>
      <c r="S105" s="65"/>
      <c r="T105" s="65"/>
      <c r="U105" s="65"/>
      <c r="V105" s="65"/>
      <c r="W105" s="65"/>
      <c r="X105" s="65">
        <f>('Px prices'!B104^'Px wts'!B$29)*('Px prices'!C104^'Px wts'!C$29)*('Px prices'!E104^'Px wts'!E$29)*('Px prices'!F104^'Px wts'!F$29)*('Px prices'!D104^'Px wts'!D$29)*('Px prices'!H104^'Px wts'!H$29)*('Px prices'!G104^'Px wts'!G$29)</f>
        <v>56.262970593581116</v>
      </c>
      <c r="Y105" s="65"/>
      <c r="Z105" s="65">
        <f>('Px prices'!B104^'Px wts'!B$32)*('Px prices'!C104^'Px wts'!C$32)*('Px prices'!E104^'Px wts'!E$32)*('Px prices'!F104^'Px wts'!F$32)*('Px prices'!D104^'Px wts'!D$32)*('Px prices'!H104^'Px wts'!H$32)*('Px prices'!G104^'Px wts'!G$32)*('Px prices'!I104^'Px wts'!I$32)</f>
        <v>55.063693752036109</v>
      </c>
      <c r="AA105" s="65">
        <f>('Px prices'!B104^'Px wts'!B$33)*('Px prices'!C104^'Px wts'!C$33)*('Px prices'!E104^'Px wts'!E$33)*('Px prices'!F104^'Px wts'!F$33)*('Px prices'!D104^'Px wts'!D$33)*('Px prices'!H104^'Px wts'!H$33)*('Px prices'!G104^'Px wts'!G$33)*('Px prices'!J104^'Px wts'!J$33)*('Px prices'!I104^'Px wts'!I$33)</f>
        <v>54.045327697060628</v>
      </c>
      <c r="AB105" s="65"/>
      <c r="AC105" s="65"/>
    </row>
    <row r="106" spans="1:31">
      <c r="A106" s="4">
        <v>1881</v>
      </c>
      <c r="B106" s="56">
        <f t="shared" ref="B106:B120" si="12">(GEOMEAN(I106:J106)/GEOMEAN(I$121:J$121))*B$121</f>
        <v>78.000555516878563</v>
      </c>
      <c r="C106" s="75"/>
      <c r="F106" s="51"/>
      <c r="G106" s="51"/>
      <c r="H106" s="51">
        <f t="shared" si="9"/>
        <v>54.36394994951327</v>
      </c>
      <c r="I106" s="51">
        <f t="shared" ref="I106:I112" si="13">(AA106/AA$105)*I$105</f>
        <v>53.593807668909029</v>
      </c>
      <c r="J106" s="51">
        <f t="shared" ref="J106:J112" si="14">AD106</f>
        <v>21.939996785890592</v>
      </c>
      <c r="K106" s="51"/>
      <c r="L106" s="51"/>
      <c r="M106" s="51"/>
      <c r="N106" s="51"/>
      <c r="S106" s="65"/>
      <c r="T106" s="65"/>
      <c r="U106" s="65"/>
      <c r="V106" s="65"/>
      <c r="W106" s="65"/>
      <c r="X106" s="65">
        <f>('Px prices'!B105^'Px wts'!B$29)*('Px prices'!C105^'Px wts'!C$29)*('Px prices'!E105^'Px wts'!E$29)*('Px prices'!F105^'Px wts'!F$29)*('Px prices'!D105^'Px wts'!D$29)*('Px prices'!H105^'Px wts'!H$29)*('Px prices'!G105^'Px wts'!G$29)</f>
        <v>54.36394994951327</v>
      </c>
      <c r="Y106" s="65"/>
      <c r="Z106" s="65"/>
      <c r="AA106" s="65">
        <f>('Px prices'!B105^'Px wts'!B$33)*('Px prices'!C105^'Px wts'!C$33)*('Px prices'!E105^'Px wts'!E$33)*('Px prices'!F105^'Px wts'!F$33)*('Px prices'!D105^'Px wts'!D$33)*('Px prices'!H105^'Px wts'!H$33)*('Px prices'!G105^'Px wts'!G$33)*('Px prices'!J105^'Px wts'!J$33)*('Px prices'!I105^'Px wts'!I$33)</f>
        <v>52.58298602338278</v>
      </c>
      <c r="AB106" s="65"/>
      <c r="AC106" s="65"/>
      <c r="AD106" s="65">
        <f>('Px prices'!B105^'Px wts'!B$37)*('Px prices'!C105^'Px wts'!C$37)*('Px prices'!E105^'Px wts'!E$37)*('Px prices'!F105^'Px wts'!F$37)*('Px prices'!D105^'Px wts'!D$37)*('Px prices'!H105^'Px wts'!H$37)*('Px prices'!G105^'Px wts'!G$37)*('Px prices'!J105^'Px wts'!J$37)*('Px prices'!K105^'Px wts'!K$37)*('Px prices'!I105^'Px wts'!I$37)</f>
        <v>21.939996785890592</v>
      </c>
    </row>
    <row r="107" spans="1:31">
      <c r="A107" s="4">
        <v>1882</v>
      </c>
      <c r="B107" s="56">
        <f t="shared" si="12"/>
        <v>78.681597818502937</v>
      </c>
      <c r="C107" s="75"/>
      <c r="F107" s="51"/>
      <c r="G107" s="51"/>
      <c r="H107" s="51"/>
      <c r="I107" s="51">
        <f t="shared" si="13"/>
        <v>53.664256138796759</v>
      </c>
      <c r="J107" s="51">
        <f t="shared" si="14"/>
        <v>22.2954893665604</v>
      </c>
      <c r="K107" s="51"/>
      <c r="L107" s="51"/>
      <c r="M107" s="51"/>
      <c r="N107" s="51"/>
      <c r="S107" s="65"/>
      <c r="T107" s="65"/>
      <c r="U107" s="65"/>
      <c r="V107" s="65"/>
      <c r="W107" s="65"/>
      <c r="X107" s="65"/>
      <c r="Y107" s="65"/>
      <c r="Z107" s="65"/>
      <c r="AA107" s="65">
        <f>('Px prices'!B106^'Px wts'!B$33)*('Px prices'!C106^'Px wts'!C$33)*('Px prices'!E106^'Px wts'!E$33)*('Px prices'!F106^'Px wts'!F$33)*('Px prices'!D106^'Px wts'!D$33)*('Px prices'!H106^'Px wts'!H$33)*('Px prices'!G106^'Px wts'!G$33)*('Px prices'!J106^'Px wts'!J$33)*('Px prices'!I106^'Px wts'!I$33)</f>
        <v>52.652105779350855</v>
      </c>
      <c r="AB107" s="65"/>
      <c r="AC107" s="65"/>
      <c r="AD107" s="65">
        <f>('Px prices'!B106^'Px wts'!B$37)*('Px prices'!C106^'Px wts'!C$37)*('Px prices'!E106^'Px wts'!E$37)*('Px prices'!F106^'Px wts'!F$37)*('Px prices'!D106^'Px wts'!D$37)*('Px prices'!H106^'Px wts'!H$37)*('Px prices'!G106^'Px wts'!G$37)*('Px prices'!J106^'Px wts'!J$37)*('Px prices'!K106^'Px wts'!K$37)*('Px prices'!I106^'Px wts'!I$37)</f>
        <v>22.2954893665604</v>
      </c>
    </row>
    <row r="108" spans="1:31">
      <c r="A108" s="4">
        <v>1883</v>
      </c>
      <c r="B108" s="56">
        <f t="shared" si="12"/>
        <v>74.685196590125798</v>
      </c>
      <c r="C108" s="75"/>
      <c r="F108" s="51"/>
      <c r="G108" s="51"/>
      <c r="H108" s="51"/>
      <c r="I108" s="51">
        <f t="shared" si="13"/>
        <v>51.706167598885131</v>
      </c>
      <c r="J108" s="51">
        <f t="shared" si="14"/>
        <v>20.848868445114064</v>
      </c>
      <c r="K108" s="51"/>
      <c r="L108" s="51"/>
      <c r="M108" s="51"/>
      <c r="N108" s="51"/>
      <c r="S108" s="65"/>
      <c r="T108" s="65"/>
      <c r="U108" s="65"/>
      <c r="V108" s="65"/>
      <c r="W108" s="65"/>
      <c r="X108" s="65"/>
      <c r="Y108" s="65"/>
      <c r="Z108" s="65"/>
      <c r="AA108" s="65">
        <f>('Px prices'!B107^'Px wts'!B$33)*('Px prices'!C107^'Px wts'!C$33)*('Px prices'!E107^'Px wts'!E$33)*('Px prices'!F107^'Px wts'!F$33)*('Px prices'!D107^'Px wts'!D$33)*('Px prices'!H107^'Px wts'!H$33)*('Px prices'!G107^'Px wts'!G$33)*('Px prices'!J107^'Px wts'!J$33)*('Px prices'!I107^'Px wts'!I$33)</f>
        <v>50.730948339618323</v>
      </c>
      <c r="AB108" s="65"/>
      <c r="AC108" s="65"/>
      <c r="AD108" s="65">
        <f>('Px prices'!B107^'Px wts'!B$37)*('Px prices'!C107^'Px wts'!C$37)*('Px prices'!E107^'Px wts'!E$37)*('Px prices'!F107^'Px wts'!F$37)*('Px prices'!D107^'Px wts'!D$37)*('Px prices'!H107^'Px wts'!H$37)*('Px prices'!G107^'Px wts'!G$37)*('Px prices'!J107^'Px wts'!J$37)*('Px prices'!K107^'Px wts'!K$37)*('Px prices'!I107^'Px wts'!I$37)</f>
        <v>20.848868445114064</v>
      </c>
    </row>
    <row r="109" spans="1:31">
      <c r="A109" s="4">
        <v>1884</v>
      </c>
      <c r="B109" s="56">
        <f t="shared" si="12"/>
        <v>66.365524077298417</v>
      </c>
      <c r="C109" s="75"/>
      <c r="F109" s="51"/>
      <c r="G109" s="51"/>
      <c r="H109" s="51"/>
      <c r="I109" s="51">
        <f t="shared" si="13"/>
        <v>46.039149896215228</v>
      </c>
      <c r="J109" s="51">
        <f t="shared" si="14"/>
        <v>18.489005100149608</v>
      </c>
      <c r="K109" s="51"/>
      <c r="L109" s="51"/>
      <c r="M109" s="51"/>
      <c r="N109" s="51"/>
      <c r="S109" s="65"/>
      <c r="T109" s="65"/>
      <c r="U109" s="65"/>
      <c r="V109" s="65"/>
      <c r="W109" s="65"/>
      <c r="X109" s="65"/>
      <c r="Y109" s="65"/>
      <c r="Z109" s="65"/>
      <c r="AA109" s="65">
        <f>('Px prices'!B108^'Px wts'!B$33)*('Px prices'!C108^'Px wts'!C$33)*('Px prices'!E108^'Px wts'!E$33)*('Px prices'!F108^'Px wts'!F$33)*('Px prices'!D108^'Px wts'!D$33)*('Px prices'!H108^'Px wts'!H$33)*('Px prices'!G108^'Px wts'!G$33)*('Px prices'!J108^'Px wts'!J$33)*('Px prices'!I108^'Px wts'!I$33)</f>
        <v>45.17081507768134</v>
      </c>
      <c r="AB109" s="65"/>
      <c r="AC109" s="65"/>
      <c r="AD109" s="65">
        <f>('Px prices'!B108^'Px wts'!B$37)*('Px prices'!C108^'Px wts'!C$37)*('Px prices'!E108^'Px wts'!E$37)*('Px prices'!F108^'Px wts'!F$37)*('Px prices'!D108^'Px wts'!D$37)*('Px prices'!H108^'Px wts'!H$37)*('Px prices'!G108^'Px wts'!G$37)*('Px prices'!J108^'Px wts'!J$37)*('Px prices'!K108^'Px wts'!K$37)*('Px prices'!I108^'Px wts'!I$37)</f>
        <v>18.489005100149608</v>
      </c>
    </row>
    <row r="110" spans="1:31">
      <c r="A110" s="4">
        <v>1885</v>
      </c>
      <c r="B110" s="56">
        <f t="shared" si="12"/>
        <v>55.217177174726494</v>
      </c>
      <c r="C110" s="75"/>
      <c r="F110" s="51"/>
      <c r="G110" s="51"/>
      <c r="H110" s="51"/>
      <c r="I110" s="51">
        <f t="shared" si="13"/>
        <v>39.769973519756626</v>
      </c>
      <c r="J110" s="51">
        <f t="shared" si="14"/>
        <v>14.816611079344828</v>
      </c>
      <c r="K110" s="51"/>
      <c r="L110" s="51"/>
      <c r="M110" s="51"/>
      <c r="N110" s="51"/>
      <c r="S110" s="65"/>
      <c r="T110" s="65"/>
      <c r="U110" s="65"/>
      <c r="V110" s="65"/>
      <c r="W110" s="65"/>
      <c r="X110" s="65"/>
      <c r="Y110" s="65"/>
      <c r="Z110" s="65"/>
      <c r="AA110" s="65">
        <f>('Px prices'!B109^'Px wts'!B$33)*('Px prices'!C109^'Px wts'!C$33)*('Px prices'!E109^'Px wts'!E$33)*('Px prices'!F109^'Px wts'!F$33)*('Px prices'!D109^'Px wts'!D$33)*('Px prices'!H109^'Px wts'!H$33)*('Px prices'!G109^'Px wts'!G$33)*('Px prices'!J109^'Px wts'!J$33)*('Px prices'!I109^'Px wts'!I$33)</f>
        <v>39.019880331302375</v>
      </c>
      <c r="AB110" s="65"/>
      <c r="AC110" s="65"/>
      <c r="AD110" s="65">
        <f>('Px prices'!B109^'Px wts'!B$37)*('Px prices'!C109^'Px wts'!C$37)*('Px prices'!E109^'Px wts'!E$37)*('Px prices'!F109^'Px wts'!F$37)*('Px prices'!D109^'Px wts'!D$37)*('Px prices'!H109^'Px wts'!H$37)*('Px prices'!G109^'Px wts'!G$37)*('Px prices'!J109^'Px wts'!J$37)*('Px prices'!K109^'Px wts'!K$37)*('Px prices'!I109^'Px wts'!I$37)</f>
        <v>14.816611079344828</v>
      </c>
    </row>
    <row r="111" spans="1:31">
      <c r="A111" s="4">
        <v>1886</v>
      </c>
      <c r="B111" s="56">
        <f t="shared" si="12"/>
        <v>61.174064213863865</v>
      </c>
      <c r="C111" s="75"/>
      <c r="F111" s="51"/>
      <c r="G111" s="51"/>
      <c r="H111" s="51"/>
      <c r="I111" s="51">
        <f t="shared" si="13"/>
        <v>42.173887890665902</v>
      </c>
      <c r="J111" s="51">
        <f t="shared" si="14"/>
        <v>17.149316341652753</v>
      </c>
      <c r="K111" s="51"/>
      <c r="L111" s="51"/>
      <c r="M111" s="51"/>
      <c r="N111" s="51"/>
      <c r="S111" s="65"/>
      <c r="T111" s="65"/>
      <c r="U111" s="65"/>
      <c r="V111" s="65"/>
      <c r="W111" s="65"/>
      <c r="X111" s="65"/>
      <c r="Y111" s="65"/>
      <c r="Z111" s="65"/>
      <c r="AA111" s="65">
        <f>('Px prices'!B110^'Px wts'!B$33)*('Px prices'!C110^'Px wts'!C$33)*('Px prices'!E110^'Px wts'!E$33)*('Px prices'!F110^'Px wts'!F$33)*('Px prices'!D110^'Px wts'!D$33)*('Px prices'!H110^'Px wts'!H$33)*('Px prices'!G110^'Px wts'!G$33)*('Px prices'!J110^'Px wts'!J$33)*('Px prices'!I110^'Px wts'!I$33)</f>
        <v>41.378454973877396</v>
      </c>
      <c r="AB111" s="65"/>
      <c r="AC111" s="65"/>
      <c r="AD111" s="65">
        <f>('Px prices'!B110^'Px wts'!B$37)*('Px prices'!C110^'Px wts'!C$37)*('Px prices'!E110^'Px wts'!E$37)*('Px prices'!F110^'Px wts'!F$37)*('Px prices'!D110^'Px wts'!D$37)*('Px prices'!H110^'Px wts'!H$37)*('Px prices'!G110^'Px wts'!G$37)*('Px prices'!J110^'Px wts'!J$37)*('Px prices'!K110^'Px wts'!K$37)*('Px prices'!I110^'Px wts'!I$37)</f>
        <v>17.149316341652753</v>
      </c>
    </row>
    <row r="112" spans="1:31">
      <c r="A112" s="4">
        <v>1887</v>
      </c>
      <c r="B112" s="56">
        <f t="shared" si="12"/>
        <v>60.664717342074283</v>
      </c>
      <c r="C112" s="75"/>
      <c r="F112" s="51"/>
      <c r="G112" s="51"/>
      <c r="H112" s="51"/>
      <c r="I112" s="51">
        <f t="shared" si="13"/>
        <v>43.09225732494653</v>
      </c>
      <c r="J112" s="51">
        <f t="shared" si="14"/>
        <v>16.505507938150327</v>
      </c>
      <c r="K112" s="51"/>
      <c r="L112" s="51"/>
      <c r="M112" s="51"/>
      <c r="N112" s="51"/>
      <c r="S112" s="65"/>
      <c r="T112" s="65"/>
      <c r="U112" s="65"/>
      <c r="V112" s="65"/>
      <c r="W112" s="65"/>
      <c r="X112" s="65"/>
      <c r="Y112" s="65"/>
      <c r="Z112" s="65"/>
      <c r="AA112" s="65">
        <f>('Px prices'!B111^'Px wts'!B$33)*('Px prices'!C111^'Px wts'!C$33)*('Px prices'!E111^'Px wts'!E$33)*('Px prices'!F111^'Px wts'!F$33)*('Px prices'!D111^'Px wts'!D$33)*('Px prices'!H111^'Px wts'!H$33)*('Px prices'!G111^'Px wts'!G$33)*('Px prices'!J111^'Px wts'!J$33)*('Px prices'!I111^'Px wts'!I$33)</f>
        <v>42.279503233508606</v>
      </c>
      <c r="AB112" s="65">
        <f>('Px prices'!B111^'Px wts'!B$35)*('Px prices'!C111^'Px wts'!C$35)*('Px prices'!E111^'Px wts'!E$35)*('Px prices'!F111^'Px wts'!F$35)*('Px prices'!D111^'Px wts'!D$35)*('Px prices'!H111^'Px wts'!H$35)*('Px prices'!G111^'Px wts'!G$35)*('Px prices'!J111^'Px wts'!J$35)*('Px prices'!K111^'Px wts'!K$35)*('Px prices'!I111^'Px wts'!I$35)</f>
        <v>42.152081346066701</v>
      </c>
      <c r="AC112" s="65"/>
      <c r="AD112" s="65">
        <f>('Px prices'!B111^'Px wts'!B$37)*('Px prices'!C111^'Px wts'!C$37)*('Px prices'!E111^'Px wts'!E$37)*('Px prices'!F111^'Px wts'!F$37)*('Px prices'!D111^'Px wts'!D$37)*('Px prices'!H111^'Px wts'!H$37)*('Px prices'!G111^'Px wts'!G$37)*('Px prices'!J111^'Px wts'!J$37)*('Px prices'!K111^'Px wts'!K$37)*('Px prices'!I111^'Px wts'!I$37)</f>
        <v>16.505507938150327</v>
      </c>
      <c r="AE112" s="65">
        <f>('Px prices'!B111^'Px wts'!B$38)*('Px prices'!C111^'Px wts'!C$38)*('Px prices'!E111^'Px wts'!E$38)*('Px prices'!F111^'Px wts'!F$38)*('Px prices'!D111^'Px wts'!D$38)*('Px prices'!H111^'Px wts'!H$38)*('Px prices'!G111^'Px wts'!G$38)*('Px prices'!J111^'Px wts'!J$38)*('Px prices'!K111^'Px wts'!K$38)*('Px prices'!I111^'Px wts'!I$38)*('Px prices'!L111^'Px wts'!L$38)</f>
        <v>15.694145851636007</v>
      </c>
    </row>
    <row r="113" spans="1:33">
      <c r="A113" s="4">
        <v>1888</v>
      </c>
      <c r="B113" s="56">
        <f t="shared" si="12"/>
        <v>54.007933307384626</v>
      </c>
      <c r="C113" s="75"/>
      <c r="F113" s="51"/>
      <c r="G113" s="51"/>
      <c r="H113" s="51"/>
      <c r="I113" s="51">
        <f t="shared" ref="I113:I118" si="15">(AB113/AB$112)*I$112</f>
        <v>36.037333140458699</v>
      </c>
      <c r="J113" s="51">
        <f t="shared" ref="J113:J118" si="16">(AE113/AE$112)*J$112</f>
        <v>15.64293549177564</v>
      </c>
      <c r="K113" s="51"/>
      <c r="L113" s="51"/>
      <c r="M113" s="51"/>
      <c r="N113" s="51"/>
      <c r="S113" s="65"/>
      <c r="T113" s="65"/>
      <c r="U113" s="65"/>
      <c r="V113" s="65"/>
      <c r="W113" s="65"/>
      <c r="X113" s="65"/>
      <c r="Y113" s="65"/>
      <c r="Z113" s="65"/>
      <c r="AA113" s="65"/>
      <c r="AB113" s="65">
        <f>('Px prices'!B112^'Px wts'!B$35)*('Px prices'!C112^'Px wts'!C$35)*('Px prices'!E112^'Px wts'!E$35)*('Px prices'!F112^'Px wts'!F$35)*('Px prices'!D112^'Px wts'!D$35)*('Px prices'!H112^'Px wts'!H$35)*('Px prices'!G112^'Px wts'!G$35)*('Px prices'!J112^'Px wts'!J$35)*('Px prices'!K112^'Px wts'!K$35)*('Px prices'!I112^'Px wts'!I$35)</f>
        <v>35.251079714325577</v>
      </c>
      <c r="AC113" s="65"/>
      <c r="AE113" s="65">
        <f>('Px prices'!B112^'Px wts'!B$38)*('Px prices'!C112^'Px wts'!C$38)*('Px prices'!E112^'Px wts'!E$38)*('Px prices'!F112^'Px wts'!F$38)*('Px prices'!D112^'Px wts'!D$38)*('Px prices'!H112^'Px wts'!H$38)*('Px prices'!G112^'Px wts'!G$38)*('Px prices'!J112^'Px wts'!J$38)*('Px prices'!K112^'Px wts'!K$38)*('Px prices'!I112^'Px wts'!I$38)*('Px prices'!L112^'Px wts'!L$38)</f>
        <v>14.873974922529547</v>
      </c>
    </row>
    <row r="114" spans="1:33">
      <c r="A114" s="4">
        <v>1889</v>
      </c>
      <c r="B114" s="56">
        <f t="shared" si="12"/>
        <v>53.136965285084472</v>
      </c>
      <c r="C114" s="75"/>
      <c r="F114" s="51"/>
      <c r="G114" s="51"/>
      <c r="H114" s="51"/>
      <c r="I114" s="51">
        <f t="shared" si="15"/>
        <v>34.667051613589422</v>
      </c>
      <c r="J114" s="51">
        <f t="shared" si="16"/>
        <v>15.741001847616406</v>
      </c>
      <c r="K114" s="51"/>
      <c r="L114" s="51"/>
      <c r="M114" s="51"/>
      <c r="N114" s="51"/>
      <c r="S114" s="65"/>
      <c r="T114" s="65"/>
      <c r="U114" s="65"/>
      <c r="V114" s="65"/>
      <c r="W114" s="65"/>
      <c r="X114" s="65"/>
      <c r="Y114" s="65"/>
      <c r="Z114" s="65"/>
      <c r="AA114" s="65"/>
      <c r="AB114" s="65">
        <f>('Px prices'!B113^'Px wts'!B$35)*('Px prices'!C113^'Px wts'!C$35)*('Px prices'!E113^'Px wts'!E$35)*('Px prices'!F113^'Px wts'!F$35)*('Px prices'!D113^'Px wts'!D$35)*('Px prices'!H113^'Px wts'!H$35)*('Px prices'!G113^'Px wts'!G$35)*('Px prices'!J113^'Px wts'!J$35)*('Px prices'!K113^'Px wts'!K$35)*('Px prices'!I113^'Px wts'!I$35)</f>
        <v>33.910694643475082</v>
      </c>
      <c r="AC114" s="65"/>
      <c r="AE114" s="65">
        <f>('Px prices'!B113^'Px wts'!B$38)*('Px prices'!C113^'Px wts'!C$38)*('Px prices'!E113^'Px wts'!E$38)*('Px prices'!F113^'Px wts'!F$38)*('Px prices'!D113^'Px wts'!D$38)*('Px prices'!H113^'Px wts'!H$38)*('Px prices'!G113^'Px wts'!G$38)*('Px prices'!J113^'Px wts'!J$38)*('Px prices'!K113^'Px wts'!K$38)*('Px prices'!I113^'Px wts'!I$38)*('Px prices'!L113^'Px wts'!L$38)</f>
        <v>14.967220625568231</v>
      </c>
    </row>
    <row r="115" spans="1:33">
      <c r="A115" s="4">
        <v>1890</v>
      </c>
      <c r="B115" s="56">
        <f t="shared" si="12"/>
        <v>50.474103121222079</v>
      </c>
      <c r="C115" s="75"/>
      <c r="F115" s="51"/>
      <c r="G115" s="51"/>
      <c r="H115" s="51"/>
      <c r="I115" s="51">
        <f t="shared" si="15"/>
        <v>35.578320299959941</v>
      </c>
      <c r="J115" s="51">
        <f t="shared" si="16"/>
        <v>13.839090910298395</v>
      </c>
      <c r="K115" s="51"/>
      <c r="L115" s="51"/>
      <c r="M115" s="51"/>
      <c r="N115" s="51"/>
      <c r="S115" s="65"/>
      <c r="T115" s="65"/>
      <c r="U115" s="65"/>
      <c r="V115" s="65"/>
      <c r="W115" s="65"/>
      <c r="X115" s="65"/>
      <c r="Y115" s="65"/>
      <c r="Z115" s="65"/>
      <c r="AA115" s="65"/>
      <c r="AB115" s="65">
        <f>('Px prices'!B114^'Px wts'!B$35)*('Px prices'!C114^'Px wts'!C$35)*('Px prices'!E114^'Px wts'!E$35)*('Px prices'!F114^'Px wts'!F$35)*('Px prices'!D114^'Px wts'!D$35)*('Px prices'!H114^'Px wts'!H$35)*('Px prices'!G114^'Px wts'!G$35)*('Px prices'!J114^'Px wts'!J$35)*('Px prices'!K114^'Px wts'!K$35)*('Px prices'!I114^'Px wts'!I$35)</f>
        <v>34.802081499966739</v>
      </c>
      <c r="AC115" s="65"/>
      <c r="AE115" s="65">
        <f>('Px prices'!B114^'Px wts'!B$38)*('Px prices'!C114^'Px wts'!C$38)*('Px prices'!E114^'Px wts'!E$38)*('Px prices'!F114^'Px wts'!F$38)*('Px prices'!D114^'Px wts'!D$38)*('Px prices'!H114^'Px wts'!H$38)*('Px prices'!G114^'Px wts'!G$38)*('Px prices'!J114^'Px wts'!J$38)*('Px prices'!K114^'Px wts'!K$38)*('Px prices'!I114^'Px wts'!I$38)*('Px prices'!L114^'Px wts'!L$38)</f>
        <v>13.158802020158406</v>
      </c>
    </row>
    <row r="116" spans="1:33">
      <c r="A116" s="4">
        <v>1891</v>
      </c>
      <c r="B116" s="56">
        <f t="shared" si="12"/>
        <v>51.286716298174156</v>
      </c>
      <c r="C116" s="75"/>
      <c r="F116" s="51"/>
      <c r="G116" s="51"/>
      <c r="H116" s="51"/>
      <c r="I116" s="51">
        <f t="shared" si="15"/>
        <v>32.835604634509593</v>
      </c>
      <c r="J116" s="51">
        <f t="shared" si="16"/>
        <v>15.481767855837912</v>
      </c>
      <c r="K116" s="51"/>
      <c r="L116" s="51"/>
      <c r="M116" s="51"/>
      <c r="N116" s="51"/>
      <c r="S116" s="65"/>
      <c r="T116" s="65"/>
      <c r="U116" s="65"/>
      <c r="V116" s="65"/>
      <c r="W116" s="65"/>
      <c r="X116" s="65"/>
      <c r="Y116" s="65"/>
      <c r="Z116" s="65"/>
      <c r="AA116" s="65"/>
      <c r="AB116" s="65">
        <f>('Px prices'!B115^'Px wts'!B$35)*('Px prices'!C115^'Px wts'!C$35)*('Px prices'!E115^'Px wts'!E$35)*('Px prices'!F115^'Px wts'!F$35)*('Px prices'!D115^'Px wts'!D$35)*('Px prices'!H115^'Px wts'!H$35)*('Px prices'!G115^'Px wts'!G$35)*('Px prices'!J115^'Px wts'!J$35)*('Px prices'!K115^'Px wts'!K$35)*('Px prices'!I115^'Px wts'!I$35)</f>
        <v>32.11920571169221</v>
      </c>
      <c r="AC116" s="65"/>
      <c r="AE116" s="65">
        <f>('Px prices'!B115^'Px wts'!B$38)*('Px prices'!C115^'Px wts'!C$38)*('Px prices'!E115^'Px wts'!E$38)*('Px prices'!F115^'Px wts'!F$38)*('Px prices'!D115^'Px wts'!D$38)*('Px prices'!H115^'Px wts'!H$38)*('Px prices'!G115^'Px wts'!G$38)*('Px prices'!J115^'Px wts'!J$38)*('Px prices'!K115^'Px wts'!K$38)*('Px prices'!I115^'Px wts'!I$38)*('Px prices'!L115^'Px wts'!L$38)</f>
        <v>14.720729812203452</v>
      </c>
    </row>
    <row r="117" spans="1:33">
      <c r="A117" s="4">
        <v>1892</v>
      </c>
      <c r="B117" s="56">
        <f t="shared" si="12"/>
        <v>48.528871117605092</v>
      </c>
      <c r="C117" s="75"/>
      <c r="F117" s="51"/>
      <c r="G117" s="51"/>
      <c r="H117" s="51"/>
      <c r="I117" s="51">
        <f t="shared" si="15"/>
        <v>30.73018891779088</v>
      </c>
      <c r="J117" s="51">
        <f t="shared" si="16"/>
        <v>14.81122328228475</v>
      </c>
      <c r="K117" s="51"/>
      <c r="L117" s="51"/>
      <c r="M117" s="51"/>
      <c r="N117" s="51"/>
      <c r="S117" s="65"/>
      <c r="T117" s="65"/>
      <c r="U117" s="65"/>
      <c r="V117" s="65"/>
      <c r="W117" s="65"/>
      <c r="X117" s="65"/>
      <c r="Y117" s="65"/>
      <c r="Z117" s="65"/>
      <c r="AA117" s="65"/>
      <c r="AB117" s="65">
        <f>('Px prices'!B116^'Px wts'!B$35)*('Px prices'!C116^'Px wts'!C$35)*('Px prices'!E116^'Px wts'!E$35)*('Px prices'!F116^'Px wts'!F$35)*('Px prices'!D116^'Px wts'!D$35)*('Px prices'!H116^'Px wts'!H$35)*('Px prices'!G116^'Px wts'!G$35)*('Px prices'!J116^'Px wts'!J$35)*('Px prices'!K116^'Px wts'!K$35)*('Px prices'!I116^'Px wts'!I$35)</f>
        <v>30.059725422943501</v>
      </c>
      <c r="AC117" s="65"/>
      <c r="AE117" s="65">
        <f>('Px prices'!B116^'Px wts'!B$38)*('Px prices'!C116^'Px wts'!C$38)*('Px prices'!E116^'Px wts'!E$38)*('Px prices'!F116^'Px wts'!F$38)*('Px prices'!D116^'Px wts'!D$38)*('Px prices'!H116^'Px wts'!H$38)*('Px prices'!G116^'Px wts'!G$38)*('Px prices'!J116^'Px wts'!J$38)*('Px prices'!K116^'Px wts'!K$38)*('Px prices'!I116^'Px wts'!I$38)*('Px prices'!L116^'Px wts'!L$38)</f>
        <v>14.083147232085308</v>
      </c>
    </row>
    <row r="118" spans="1:33">
      <c r="A118" s="4">
        <v>1893</v>
      </c>
      <c r="B118" s="56">
        <f t="shared" si="12"/>
        <v>49.66338270442278</v>
      </c>
      <c r="C118" s="75"/>
      <c r="F118" s="51"/>
      <c r="G118" s="51"/>
      <c r="H118" s="51"/>
      <c r="I118" s="51">
        <f t="shared" si="15"/>
        <v>33.173250510520127</v>
      </c>
      <c r="J118" s="51">
        <f t="shared" si="16"/>
        <v>14.369456683279786</v>
      </c>
      <c r="K118" s="51"/>
      <c r="L118" s="51"/>
      <c r="M118" s="51"/>
      <c r="N118" s="51"/>
      <c r="S118" s="65"/>
      <c r="T118" s="65"/>
      <c r="U118" s="65"/>
      <c r="V118" s="65"/>
      <c r="W118" s="65"/>
      <c r="X118" s="65"/>
      <c r="Y118" s="65"/>
      <c r="Z118" s="65"/>
      <c r="AA118" s="65"/>
      <c r="AB118" s="65">
        <f>('Px prices'!B117^'Px wts'!B$35)*('Px prices'!C117^'Px wts'!C$35)*('Px prices'!E117^'Px wts'!E$35)*('Px prices'!F117^'Px wts'!F$35)*('Px prices'!D117^'Px wts'!D$35)*('Px prices'!H117^'Px wts'!H$35)*('Px prices'!G117^'Px wts'!G$35)*('Px prices'!J117^'Px wts'!J$35)*('Px prices'!K117^'Px wts'!K$35)*('Px prices'!I117^'Px wts'!I$35)</f>
        <v>32.449484915318912</v>
      </c>
      <c r="AC118" s="65">
        <f>('Px prices'!B117^'Px wts'!B$35)*('Px prices'!C117^'Px wts'!C$35)*('Px prices'!E117^'Px wts'!E$35)*('Px prices'!F117^'Px wts'!F$35)*('Px prices'!D117^'Px wts'!D$35)*('Px prices'!H117^'Px wts'!H$35)*('Px prices'!G117^'Px wts'!G$35)*('Px prices'!J117^'Px wts'!J$35)*('Px prices'!K117^'Px wts'!K$35)*('Px prices'!I117^'Px wts'!I$35)</f>
        <v>32.449484915318912</v>
      </c>
      <c r="AE118" s="65">
        <f>('Px prices'!B117^'Px wts'!B$38)*('Px prices'!C117^'Px wts'!C$38)*('Px prices'!E117^'Px wts'!E$38)*('Px prices'!F117^'Px wts'!F$38)*('Px prices'!D117^'Px wts'!D$38)*('Px prices'!H117^'Px wts'!H$38)*('Px prices'!G117^'Px wts'!G$38)*('Px prices'!J117^'Px wts'!J$38)*('Px prices'!K117^'Px wts'!K$38)*('Px prices'!I117^'Px wts'!I$38)*('Px prices'!L117^'Px wts'!L$38)</f>
        <v>13.66309657607732</v>
      </c>
      <c r="AF118" s="65">
        <f>('Px prices'!B117^'Px wts'!B$39)*('Px prices'!C117^'Px wts'!C$39)*('Px prices'!E117^'Px wts'!E$39)*('Px prices'!F117^'Px wts'!F$39)*('Px prices'!D117^'Px wts'!D$39)*('Px prices'!H117^'Px wts'!H$39)*('Px prices'!G117^'Px wts'!G$39)*('Px prices'!J117^'Px wts'!J$39)*('Px prices'!K117^'Px wts'!K$39)*('Px prices'!I117^'Px wts'!I$39)*('Px prices'!L117^'Px wts'!L$39)*('Px prices'!M117^'Px wts'!M$39)</f>
        <v>13.858824335121833</v>
      </c>
    </row>
    <row r="119" spans="1:33">
      <c r="A119" s="4">
        <v>1894</v>
      </c>
      <c r="B119" s="56">
        <f t="shared" si="12"/>
        <v>46.22425673990935</v>
      </c>
      <c r="C119" s="75"/>
      <c r="F119" s="51"/>
      <c r="G119" s="51"/>
      <c r="H119" s="51"/>
      <c r="I119" s="51">
        <f>(AC119/AC$118)*I$118</f>
        <v>30.630162348612743</v>
      </c>
      <c r="J119" s="51">
        <f t="shared" ref="J119:J135" si="17">(AF119/AF$118)*J$118</f>
        <v>13.481752691031089</v>
      </c>
      <c r="K119" s="51"/>
      <c r="L119" s="51"/>
      <c r="M119" s="51"/>
      <c r="N119" s="51"/>
      <c r="S119" s="65"/>
      <c r="T119" s="65"/>
      <c r="U119" s="65"/>
      <c r="V119" s="65"/>
      <c r="W119" s="65"/>
      <c r="X119" s="65"/>
      <c r="Y119" s="65"/>
      <c r="Z119" s="65"/>
      <c r="AA119" s="65"/>
      <c r="AB119" s="65"/>
      <c r="AC119" s="65">
        <f>('Px prices'!B118^'Px wts'!B$35)*('Px prices'!C118^'Px wts'!C$35)*('Px prices'!E118^'Px wts'!E$35)*('Px prices'!F118^'Px wts'!F$35)*('Px prices'!D118^'Px wts'!D$35)*('Px prices'!H118^'Px wts'!H$35)*('Px prices'!G118^'Px wts'!G$35)*('Px prices'!J118^'Px wts'!J$35)*('Px prices'!K118^'Px wts'!K$35)*('Px prices'!I118^'Px wts'!I$35)</f>
        <v>29.96188120817029</v>
      </c>
      <c r="AF119" s="65">
        <f>('Px prices'!B118^'Px wts'!B$39)*('Px prices'!C118^'Px wts'!C$39)*('Px prices'!E118^'Px wts'!E$39)*('Px prices'!F118^'Px wts'!F$39)*('Px prices'!D118^'Px wts'!D$39)*('Px prices'!H118^'Px wts'!H$39)*('Px prices'!G118^'Px wts'!G$39)*('Px prices'!J118^'Px wts'!J$39)*('Px prices'!K118^'Px wts'!K$39)*('Px prices'!I118^'Px wts'!I$39)*('Px prices'!L118^'Px wts'!L$39)*('Px prices'!M118^'Px wts'!M$39)</f>
        <v>13.002665750888358</v>
      </c>
    </row>
    <row r="120" spans="1:33">
      <c r="A120" s="4">
        <v>1895</v>
      </c>
      <c r="B120" s="56">
        <f t="shared" si="12"/>
        <v>49.187669300944314</v>
      </c>
      <c r="C120" s="75"/>
      <c r="F120" s="51"/>
      <c r="G120" s="51"/>
      <c r="H120" s="51"/>
      <c r="I120" s="51">
        <f>(AC120/AC$118)*I$118</f>
        <v>34.80511048530331</v>
      </c>
      <c r="J120" s="51">
        <f t="shared" si="17"/>
        <v>13.434615885284305</v>
      </c>
      <c r="K120" s="51"/>
      <c r="L120" s="51"/>
      <c r="M120" s="51"/>
      <c r="N120" s="51"/>
      <c r="S120" s="65"/>
      <c r="T120" s="65"/>
      <c r="U120" s="65"/>
      <c r="V120" s="65"/>
      <c r="W120" s="65"/>
      <c r="X120" s="65"/>
      <c r="Y120" s="65"/>
      <c r="Z120" s="65"/>
      <c r="AA120" s="65"/>
      <c r="AB120" s="65"/>
      <c r="AC120" s="65">
        <f>('Px prices'!B119^'Px wts'!B$35)*('Px prices'!C119^'Px wts'!C$35)*('Px prices'!E119^'Px wts'!E$35)*('Px prices'!F119^'Px wts'!F$35)*('Px prices'!D119^'Px wts'!D$35)*('Px prices'!H119^'Px wts'!H$35)*('Px prices'!G119^'Px wts'!G$35)*('Px prices'!J119^'Px wts'!J$35)*('Px prices'!K119^'Px wts'!K$35)*('Px prices'!I119^'Px wts'!I$35)</f>
        <v>34.045741381619877</v>
      </c>
      <c r="AF120" s="65">
        <f>('Px prices'!B119^'Px wts'!B$39)*('Px prices'!C119^'Px wts'!C$39)*('Px prices'!E119^'Px wts'!E$39)*('Px prices'!F119^'Px wts'!F$39)*('Px prices'!D119^'Px wts'!D$39)*('Px prices'!H119^'Px wts'!H$39)*('Px prices'!G119^'Px wts'!G$39)*('Px prices'!J119^'Px wts'!J$39)*('Px prices'!K119^'Px wts'!K$39)*('Px prices'!I119^'Px wts'!I$39)*('Px prices'!L119^'Px wts'!L$39)*('Px prices'!M119^'Px wts'!M$39)</f>
        <v>12.957203996490675</v>
      </c>
    </row>
    <row r="121" spans="1:33">
      <c r="A121" s="4">
        <v>1896</v>
      </c>
      <c r="B121" s="56">
        <f>(GEOMEAN(J121:K121)/GEOMEAN(J$135:K$135))*B$135</f>
        <v>51.286538054489114</v>
      </c>
      <c r="C121" s="75"/>
      <c r="F121" s="51"/>
      <c r="G121" s="51"/>
      <c r="H121" s="51"/>
      <c r="I121" s="51">
        <f>(AC121/AC$118)*I$118</f>
        <v>36.491964296821699</v>
      </c>
      <c r="J121" s="51">
        <f t="shared" si="17"/>
        <v>13.930455229295111</v>
      </c>
      <c r="K121" s="51">
        <f t="shared" ref="K121:K135" si="18">AG121</f>
        <v>8.060108376099457</v>
      </c>
      <c r="L121" s="51"/>
      <c r="M121" s="51"/>
      <c r="N121" s="51"/>
      <c r="S121" s="65"/>
      <c r="T121" s="65"/>
      <c r="U121" s="65"/>
      <c r="V121" s="65"/>
      <c r="W121" s="65"/>
      <c r="X121" s="65"/>
      <c r="Y121" s="65"/>
      <c r="Z121" s="65"/>
      <c r="AA121" s="65"/>
      <c r="AB121" s="65"/>
      <c r="AC121" s="65">
        <f>('Px prices'!B120^'Px wts'!B$35)*('Px prices'!C120^'Px wts'!C$35)*('Px prices'!E120^'Px wts'!E$35)*('Px prices'!F120^'Px wts'!F$35)*('Px prices'!D120^'Px wts'!D$35)*('Px prices'!H120^'Px wts'!H$35)*('Px prices'!G120^'Px wts'!G$35)*('Px prices'!J120^'Px wts'!J$35)*('Px prices'!K120^'Px wts'!K$35)*('Px prices'!I120^'Px wts'!I$35)</f>
        <v>35.695791843025681</v>
      </c>
      <c r="AF121" s="65">
        <f>('Px prices'!B120^'Px wts'!B$39)*('Px prices'!C120^'Px wts'!C$39)*('Px prices'!E120^'Px wts'!E$39)*('Px prices'!F120^'Px wts'!F$39)*('Px prices'!D120^'Px wts'!D$39)*('Px prices'!H120^'Px wts'!H$39)*('Px prices'!G120^'Px wts'!G$39)*('Px prices'!J120^'Px wts'!J$39)*('Px prices'!K120^'Px wts'!K$39)*('Px prices'!I120^'Px wts'!I$39)*('Px prices'!L120^'Px wts'!L$39)*('Px prices'!M120^'Px wts'!M$39)</f>
        <v>13.435423216503615</v>
      </c>
      <c r="AG121" s="65">
        <f>('Px prices'!B120^'Px wts'!B$41)*('Px prices'!C120^'Px wts'!C$41)*('Px prices'!E120^'Px wts'!E$41)*('Px prices'!F120^'Px wts'!F$41)*('Px prices'!D120^'Px wts'!D$41)*('Px prices'!H120^'Px wts'!H$41)*('Px prices'!G120^'Px wts'!G$41)*('Px prices'!J120^'Px wts'!J$41)*('Px prices'!K120^'Px wts'!K$41)*('Px prices'!I120^'Px wts'!I$41)*('Px prices'!L120^'Px wts'!L$41)*('Px prices'!M120^'Px wts'!M$41)</f>
        <v>8.060108376099457</v>
      </c>
    </row>
    <row r="122" spans="1:33">
      <c r="A122" s="4">
        <v>1897</v>
      </c>
      <c r="B122" s="56">
        <f t="shared" ref="B122:B135" si="19">(GEOMEAN(J122:K122)/GEOMEAN(J$135:K$135))*100</f>
        <v>56.611388537223625</v>
      </c>
      <c r="C122" s="75"/>
      <c r="F122" s="51"/>
      <c r="G122" s="51"/>
      <c r="H122" s="51"/>
      <c r="I122" s="51"/>
      <c r="J122" s="51">
        <f t="shared" si="17"/>
        <v>15.007406551211993</v>
      </c>
      <c r="K122" s="51">
        <f t="shared" si="18"/>
        <v>9.115938534478051</v>
      </c>
      <c r="L122" s="51"/>
      <c r="M122" s="51"/>
      <c r="N122" s="51"/>
      <c r="S122" s="65"/>
      <c r="T122" s="65"/>
      <c r="U122" s="65"/>
      <c r="V122" s="65"/>
      <c r="W122" s="65"/>
      <c r="X122" s="65"/>
      <c r="Y122" s="65"/>
      <c r="Z122" s="65"/>
      <c r="AA122" s="65"/>
      <c r="AB122" s="65"/>
      <c r="AC122" s="65"/>
      <c r="AF122" s="65">
        <f>('Px prices'!B121^'Px wts'!B$39)*('Px prices'!C121^'Px wts'!C$39)*('Px prices'!E121^'Px wts'!E$39)*('Px prices'!F121^'Px wts'!F$39)*('Px prices'!D121^'Px wts'!D$39)*('Px prices'!H121^'Px wts'!H$39)*('Px prices'!G121^'Px wts'!G$39)*('Px prices'!J121^'Px wts'!J$39)*('Px prices'!K121^'Px wts'!K$39)*('Px prices'!I121^'Px wts'!I$39)*('Px prices'!L121^'Px wts'!L$39)*('Px prices'!M121^'Px wts'!M$39)</f>
        <v>14.474104046050236</v>
      </c>
      <c r="AG122" s="65">
        <f>('Px prices'!B121^'Px wts'!B$41)*('Px prices'!C121^'Px wts'!C$41)*('Px prices'!E121^'Px wts'!E$41)*('Px prices'!F121^'Px wts'!F$41)*('Px prices'!D121^'Px wts'!D$41)*('Px prices'!H121^'Px wts'!H$41)*('Px prices'!G121^'Px wts'!G$41)*('Px prices'!J121^'Px wts'!J$41)*('Px prices'!K121^'Px wts'!K$41)*('Px prices'!I121^'Px wts'!I$41)*('Px prices'!L121^'Px wts'!L$41)*('Px prices'!M121^'Px wts'!M$41)</f>
        <v>9.115938534478051</v>
      </c>
    </row>
    <row r="123" spans="1:33">
      <c r="A123" s="4">
        <v>1898</v>
      </c>
      <c r="B123" s="56">
        <f t="shared" si="19"/>
        <v>62.522119083357609</v>
      </c>
      <c r="C123" s="75"/>
      <c r="F123" s="51"/>
      <c r="G123" s="51"/>
      <c r="H123" s="51"/>
      <c r="I123" s="51"/>
      <c r="J123" s="51">
        <f t="shared" si="17"/>
        <v>17.113388295328988</v>
      </c>
      <c r="K123" s="51">
        <f t="shared" si="18"/>
        <v>9.7505877656486604</v>
      </c>
      <c r="L123" s="51"/>
      <c r="M123" s="51"/>
      <c r="N123" s="51"/>
      <c r="S123" s="65"/>
      <c r="T123" s="65"/>
      <c r="U123" s="65"/>
      <c r="V123" s="65"/>
      <c r="W123" s="65"/>
      <c r="X123" s="65"/>
      <c r="Y123" s="65"/>
      <c r="Z123" s="65"/>
      <c r="AA123" s="65"/>
      <c r="AB123" s="65"/>
      <c r="AC123" s="65"/>
      <c r="AF123" s="65">
        <f>('Px prices'!B122^'Px wts'!B$39)*('Px prices'!C122^'Px wts'!C$39)*('Px prices'!E122^'Px wts'!E$39)*('Px prices'!F122^'Px wts'!F$39)*('Px prices'!D122^'Px wts'!D$39)*('Px prices'!H122^'Px wts'!H$39)*('Px prices'!G122^'Px wts'!G$39)*('Px prices'!J122^'Px wts'!J$39)*('Px prices'!K122^'Px wts'!K$39)*('Px prices'!I122^'Px wts'!I$39)*('Px prices'!L122^'Px wts'!L$39)*('Px prices'!M122^'Px wts'!M$39)</f>
        <v>16.505247720302869</v>
      </c>
      <c r="AG123" s="65">
        <f>('Px prices'!B122^'Px wts'!B$41)*('Px prices'!C122^'Px wts'!C$41)*('Px prices'!E122^'Px wts'!E$41)*('Px prices'!F122^'Px wts'!F$41)*('Px prices'!D122^'Px wts'!D$41)*('Px prices'!H122^'Px wts'!H$41)*('Px prices'!G122^'Px wts'!G$41)*('Px prices'!J122^'Px wts'!J$41)*('Px prices'!K122^'Px wts'!K$41)*('Px prices'!I122^'Px wts'!I$41)*('Px prices'!L122^'Px wts'!L$41)*('Px prices'!M122^'Px wts'!M$41)</f>
        <v>9.7505877656486604</v>
      </c>
    </row>
    <row r="124" spans="1:33">
      <c r="A124" s="4">
        <v>1899</v>
      </c>
      <c r="B124" s="56">
        <f t="shared" si="19"/>
        <v>61.318066478973201</v>
      </c>
      <c r="C124" s="75"/>
      <c r="F124" s="51"/>
      <c r="G124" s="51"/>
      <c r="H124" s="51"/>
      <c r="I124" s="51"/>
      <c r="J124" s="51">
        <f t="shared" si="17"/>
        <v>17.285654931445023</v>
      </c>
      <c r="K124" s="51">
        <f t="shared" si="18"/>
        <v>9.2851834029970437</v>
      </c>
      <c r="L124" s="51"/>
      <c r="M124" s="51"/>
      <c r="N124" s="51"/>
      <c r="S124" s="65"/>
      <c r="T124" s="65"/>
      <c r="U124" s="65"/>
      <c r="V124" s="65"/>
      <c r="W124" s="65"/>
      <c r="X124" s="65"/>
      <c r="Y124" s="65"/>
      <c r="Z124" s="65"/>
      <c r="AA124" s="65"/>
      <c r="AB124" s="65"/>
      <c r="AC124" s="65"/>
      <c r="AF124" s="65">
        <f>('Px prices'!B123^'Px wts'!B$39)*('Px prices'!C123^'Px wts'!C$39)*('Px prices'!E123^'Px wts'!E$39)*('Px prices'!F123^'Px wts'!F$39)*('Px prices'!D123^'Px wts'!D$39)*('Px prices'!H123^'Px wts'!H$39)*('Px prices'!G123^'Px wts'!G$39)*('Px prices'!J123^'Px wts'!J$39)*('Px prices'!K123^'Px wts'!K$39)*('Px prices'!I123^'Px wts'!I$39)*('Px prices'!L123^'Px wts'!L$39)*('Px prices'!M123^'Px wts'!M$39)</f>
        <v>16.671392697204638</v>
      </c>
      <c r="AG124" s="65">
        <f>('Px prices'!B123^'Px wts'!B$41)*('Px prices'!C123^'Px wts'!C$41)*('Px prices'!E123^'Px wts'!E$41)*('Px prices'!F123^'Px wts'!F$41)*('Px prices'!D123^'Px wts'!D$41)*('Px prices'!H123^'Px wts'!H$41)*('Px prices'!G123^'Px wts'!G$41)*('Px prices'!J123^'Px wts'!J$41)*('Px prices'!K123^'Px wts'!K$41)*('Px prices'!I123^'Px wts'!I$41)*('Px prices'!L123^'Px wts'!L$41)*('Px prices'!M123^'Px wts'!M$41)</f>
        <v>9.2851834029970437</v>
      </c>
    </row>
    <row r="125" spans="1:33">
      <c r="A125" s="4">
        <v>1900</v>
      </c>
      <c r="B125" s="56">
        <f t="shared" si="19"/>
        <v>69.722499708556242</v>
      </c>
      <c r="C125" s="75"/>
      <c r="F125" s="51"/>
      <c r="G125" s="51"/>
      <c r="H125" s="51"/>
      <c r="I125" s="51"/>
      <c r="J125" s="51">
        <f t="shared" si="17"/>
        <v>18.84532191410133</v>
      </c>
      <c r="K125" s="51">
        <f t="shared" si="18"/>
        <v>11.011380233106269</v>
      </c>
      <c r="L125" s="51"/>
      <c r="M125" s="51"/>
      <c r="N125" s="51"/>
      <c r="S125" s="65"/>
      <c r="T125" s="65"/>
      <c r="U125" s="65"/>
      <c r="V125" s="65"/>
      <c r="W125" s="65"/>
      <c r="X125" s="65"/>
      <c r="Y125" s="65"/>
      <c r="Z125" s="65"/>
      <c r="AA125" s="65"/>
      <c r="AB125" s="65"/>
      <c r="AC125" s="65"/>
      <c r="AF125" s="65">
        <f>('Px prices'!B124^'Px wts'!B$39)*('Px prices'!C124^'Px wts'!C$39)*('Px prices'!E124^'Px wts'!E$39)*('Px prices'!F124^'Px wts'!F$39)*('Px prices'!D124^'Px wts'!D$39)*('Px prices'!H124^'Px wts'!H$39)*('Px prices'!G124^'Px wts'!G$39)*('Px prices'!J124^'Px wts'!J$39)*('Px prices'!K124^'Px wts'!K$39)*('Px prices'!I124^'Px wts'!I$39)*('Px prices'!L124^'Px wts'!L$39)*('Px prices'!M124^'Px wts'!M$39)</f>
        <v>18.175635426094626</v>
      </c>
      <c r="AG125" s="65">
        <f>('Px prices'!B124^'Px wts'!B$41)*('Px prices'!C124^'Px wts'!C$41)*('Px prices'!E124^'Px wts'!E$41)*('Px prices'!F124^'Px wts'!F$41)*('Px prices'!D124^'Px wts'!D$41)*('Px prices'!H124^'Px wts'!H$41)*('Px prices'!G124^'Px wts'!G$41)*('Px prices'!J124^'Px wts'!J$41)*('Px prices'!K124^'Px wts'!K$41)*('Px prices'!I124^'Px wts'!I$41)*('Px prices'!L124^'Px wts'!L$41)*('Px prices'!M124^'Px wts'!M$41)</f>
        <v>11.011380233106269</v>
      </c>
    </row>
    <row r="126" spans="1:33">
      <c r="A126" s="4">
        <v>1901</v>
      </c>
      <c r="B126" s="56">
        <f t="shared" si="19"/>
        <v>68.275990666684962</v>
      </c>
      <c r="C126" s="75"/>
      <c r="F126" s="51"/>
      <c r="G126" s="51"/>
      <c r="H126" s="51"/>
      <c r="I126" s="51"/>
      <c r="J126" s="51">
        <f t="shared" si="17"/>
        <v>17.691007519211734</v>
      </c>
      <c r="K126" s="51">
        <f t="shared" si="18"/>
        <v>11.248195997580925</v>
      </c>
      <c r="L126" s="51"/>
      <c r="M126" s="51"/>
      <c r="N126" s="51"/>
      <c r="S126" s="65"/>
      <c r="T126" s="65"/>
      <c r="U126" s="65"/>
      <c r="V126" s="65"/>
      <c r="W126" s="65"/>
      <c r="X126" s="65"/>
      <c r="Y126" s="65"/>
      <c r="Z126" s="65"/>
      <c r="AA126" s="65"/>
      <c r="AB126" s="65"/>
      <c r="AC126" s="65"/>
      <c r="AF126" s="65">
        <f>('Px prices'!B125^'Px wts'!B$39)*('Px prices'!C125^'Px wts'!C$39)*('Px prices'!E125^'Px wts'!E$39)*('Px prices'!F125^'Px wts'!F$39)*('Px prices'!D125^'Px wts'!D$39)*('Px prices'!H125^'Px wts'!H$39)*('Px prices'!G125^'Px wts'!G$39)*('Px prices'!J125^'Px wts'!J$39)*('Px prices'!K125^'Px wts'!K$39)*('Px prices'!I125^'Px wts'!I$39)*('Px prices'!L125^'Px wts'!L$39)*('Px prices'!M125^'Px wts'!M$39)</f>
        <v>17.062340694158667</v>
      </c>
      <c r="AG126" s="65">
        <f>('Px prices'!B125^'Px wts'!B$41)*('Px prices'!C125^'Px wts'!C$41)*('Px prices'!E125^'Px wts'!E$41)*('Px prices'!F125^'Px wts'!F$41)*('Px prices'!D125^'Px wts'!D$41)*('Px prices'!H125^'Px wts'!H$41)*('Px prices'!G125^'Px wts'!G$41)*('Px prices'!J125^'Px wts'!J$41)*('Px prices'!K125^'Px wts'!K$41)*('Px prices'!I125^'Px wts'!I$41)*('Px prices'!L125^'Px wts'!L$41)*('Px prices'!M125^'Px wts'!M$41)</f>
        <v>11.248195997580925</v>
      </c>
    </row>
    <row r="127" spans="1:33">
      <c r="A127" s="4">
        <v>1902</v>
      </c>
      <c r="B127" s="56">
        <f t="shared" si="19"/>
        <v>72.536440903798749</v>
      </c>
      <c r="C127" s="75"/>
      <c r="F127" s="51"/>
      <c r="G127" s="51"/>
      <c r="H127" s="51"/>
      <c r="I127" s="51"/>
      <c r="J127" s="51">
        <f t="shared" si="17"/>
        <v>19.261329288218239</v>
      </c>
      <c r="K127" s="51">
        <f t="shared" si="18"/>
        <v>11.660727616269529</v>
      </c>
      <c r="L127" s="51"/>
      <c r="M127" s="51"/>
      <c r="N127" s="51"/>
      <c r="S127" s="65"/>
      <c r="T127" s="65"/>
      <c r="U127" s="65"/>
      <c r="V127" s="65"/>
      <c r="W127" s="65"/>
      <c r="X127" s="65"/>
      <c r="Y127" s="65"/>
      <c r="Z127" s="65"/>
      <c r="AA127" s="65"/>
      <c r="AB127" s="65"/>
      <c r="AC127" s="65"/>
      <c r="AF127" s="65">
        <f>('Px prices'!B126^'Px wts'!B$39)*('Px prices'!C126^'Px wts'!C$39)*('Px prices'!E126^'Px wts'!E$39)*('Px prices'!F126^'Px wts'!F$39)*('Px prices'!D126^'Px wts'!D$39)*('Px prices'!H126^'Px wts'!H$39)*('Px prices'!G126^'Px wts'!G$39)*('Px prices'!J126^'Px wts'!J$39)*('Px prices'!K126^'Px wts'!K$39)*('Px prices'!I126^'Px wts'!I$39)*('Px prices'!L126^'Px wts'!L$39)*('Px prices'!M126^'Px wts'!M$39)</f>
        <v>18.576859581403859</v>
      </c>
      <c r="AG127" s="65">
        <f>('Px prices'!B126^'Px wts'!B$41)*('Px prices'!C126^'Px wts'!C$41)*('Px prices'!E126^'Px wts'!E$41)*('Px prices'!F126^'Px wts'!F$41)*('Px prices'!D126^'Px wts'!D$41)*('Px prices'!H126^'Px wts'!H$41)*('Px prices'!G126^'Px wts'!G$41)*('Px prices'!J126^'Px wts'!J$41)*('Px prices'!K126^'Px wts'!K$41)*('Px prices'!I126^'Px wts'!I$41)*('Px prices'!L126^'Px wts'!L$41)*('Px prices'!M126^'Px wts'!M$41)</f>
        <v>11.660727616269529</v>
      </c>
    </row>
    <row r="128" spans="1:33">
      <c r="A128" s="4">
        <v>1903</v>
      </c>
      <c r="B128" s="56">
        <f t="shared" si="19"/>
        <v>69.136380572939231</v>
      </c>
      <c r="C128" s="75"/>
      <c r="F128" s="51"/>
      <c r="G128" s="51"/>
      <c r="H128" s="51"/>
      <c r="I128" s="51"/>
      <c r="J128" s="51">
        <f t="shared" si="17"/>
        <v>18.820686100974488</v>
      </c>
      <c r="K128" s="51">
        <f t="shared" si="18"/>
        <v>10.84119732925344</v>
      </c>
      <c r="L128" s="51"/>
      <c r="M128" s="51"/>
      <c r="N128" s="51"/>
      <c r="S128" s="65"/>
      <c r="T128" s="65"/>
      <c r="U128" s="65"/>
      <c r="V128" s="65"/>
      <c r="W128" s="65"/>
      <c r="X128" s="65"/>
      <c r="Y128" s="65"/>
      <c r="Z128" s="65"/>
      <c r="AA128" s="65"/>
      <c r="AB128" s="65"/>
      <c r="AC128" s="65"/>
      <c r="AF128" s="65">
        <f>('Px prices'!B127^'Px wts'!B$39)*('Px prices'!C127^'Px wts'!C$39)*('Px prices'!E127^'Px wts'!E$39)*('Px prices'!F127^'Px wts'!F$39)*('Px prices'!D127^'Px wts'!D$39)*('Px prices'!H127^'Px wts'!H$39)*('Px prices'!G127^'Px wts'!G$39)*('Px prices'!J127^'Px wts'!J$39)*('Px prices'!K127^'Px wts'!K$39)*('Px prices'!I127^'Px wts'!I$39)*('Px prices'!L127^'Px wts'!L$39)*('Px prices'!M127^'Px wts'!M$39)</f>
        <v>18.151875070083737</v>
      </c>
      <c r="AG128" s="65">
        <f>('Px prices'!B127^'Px wts'!B$41)*('Px prices'!C127^'Px wts'!C$41)*('Px prices'!E127^'Px wts'!E$41)*('Px prices'!F127^'Px wts'!F$41)*('Px prices'!D127^'Px wts'!D$41)*('Px prices'!H127^'Px wts'!H$41)*('Px prices'!G127^'Px wts'!G$41)*('Px prices'!J127^'Px wts'!J$41)*('Px prices'!K127^'Px wts'!K$41)*('Px prices'!I127^'Px wts'!I$41)*('Px prices'!L127^'Px wts'!L$41)*('Px prices'!M127^'Px wts'!M$41)</f>
        <v>10.84119732925344</v>
      </c>
    </row>
    <row r="129" spans="1:38">
      <c r="A129" s="4">
        <v>1904</v>
      </c>
      <c r="B129" s="56">
        <f t="shared" si="19"/>
        <v>70.9246527344675</v>
      </c>
      <c r="C129" s="75"/>
      <c r="F129" s="51"/>
      <c r="G129" s="51"/>
      <c r="H129" s="51"/>
      <c r="I129" s="51"/>
      <c r="J129" s="51">
        <f t="shared" si="17"/>
        <v>19.668669820549834</v>
      </c>
      <c r="K129" s="51">
        <f t="shared" si="18"/>
        <v>10.917391082292061</v>
      </c>
      <c r="L129" s="51"/>
      <c r="M129" s="51"/>
      <c r="N129" s="51"/>
      <c r="S129" s="65"/>
      <c r="T129" s="65"/>
      <c r="U129" s="65"/>
      <c r="V129" s="65"/>
      <c r="W129" s="65"/>
      <c r="X129" s="65"/>
      <c r="Y129" s="65"/>
      <c r="Z129" s="65"/>
      <c r="AA129" s="65"/>
      <c r="AB129" s="65"/>
      <c r="AC129" s="65"/>
      <c r="AF129" s="65">
        <f>('Px prices'!B128^'Px wts'!B$39)*('Px prices'!C128^'Px wts'!C$39)*('Px prices'!E128^'Px wts'!E$39)*('Px prices'!F128^'Px wts'!F$39)*('Px prices'!D128^'Px wts'!D$39)*('Px prices'!H128^'Px wts'!H$39)*('Px prices'!G128^'Px wts'!G$39)*('Px prices'!J128^'Px wts'!J$39)*('Px prices'!K128^'Px wts'!K$39)*('Px prices'!I128^'Px wts'!I$39)*('Px prices'!L128^'Px wts'!L$39)*('Px prices'!M128^'Px wts'!M$39)</f>
        <v>18.969724879416649</v>
      </c>
      <c r="AG129" s="65">
        <f>('Px prices'!B128^'Px wts'!B$41)*('Px prices'!C128^'Px wts'!C$41)*('Px prices'!E128^'Px wts'!E$41)*('Px prices'!F128^'Px wts'!F$41)*('Px prices'!D128^'Px wts'!D$41)*('Px prices'!H128^'Px wts'!H$41)*('Px prices'!G128^'Px wts'!G$41)*('Px prices'!J128^'Px wts'!J$41)*('Px prices'!K128^'Px wts'!K$41)*('Px prices'!I128^'Px wts'!I$41)*('Px prices'!L128^'Px wts'!L$41)*('Px prices'!M128^'Px wts'!M$41)</f>
        <v>10.917391082292061</v>
      </c>
    </row>
    <row r="130" spans="1:38">
      <c r="A130" s="4">
        <v>1905</v>
      </c>
      <c r="B130" s="56">
        <f t="shared" si="19"/>
        <v>80.087737629966398</v>
      </c>
      <c r="C130" s="75"/>
      <c r="F130" s="51"/>
      <c r="G130" s="51"/>
      <c r="H130" s="51"/>
      <c r="I130" s="51"/>
      <c r="J130" s="51">
        <f t="shared" si="17"/>
        <v>22.428076475209508</v>
      </c>
      <c r="K130" s="51">
        <f t="shared" si="18"/>
        <v>12.207857312586912</v>
      </c>
      <c r="L130" s="51"/>
      <c r="M130" s="51"/>
      <c r="N130" s="51"/>
      <c r="S130" s="65"/>
      <c r="T130" s="65"/>
      <c r="U130" s="65"/>
      <c r="V130" s="65"/>
      <c r="W130" s="65"/>
      <c r="X130" s="65"/>
      <c r="Y130" s="65"/>
      <c r="Z130" s="65"/>
      <c r="AA130" s="65"/>
      <c r="AB130" s="65"/>
      <c r="AC130" s="65"/>
      <c r="AF130" s="65">
        <f>('Px prices'!B129^'Px wts'!B$39)*('Px prices'!C129^'Px wts'!C$39)*('Px prices'!E129^'Px wts'!E$39)*('Px prices'!F129^'Px wts'!F$39)*('Px prices'!D129^'Px wts'!D$39)*('Px prices'!H129^'Px wts'!H$39)*('Px prices'!G129^'Px wts'!G$39)*('Px prices'!J129^'Px wts'!J$39)*('Px prices'!K129^'Px wts'!K$39)*('Px prices'!I129^'Px wts'!I$39)*('Px prices'!L129^'Px wts'!L$39)*('Px prices'!M129^'Px wts'!M$39)</f>
        <v>21.631073386809621</v>
      </c>
      <c r="AG130" s="65">
        <f>('Px prices'!B129^'Px wts'!B$41)*('Px prices'!C129^'Px wts'!C$41)*('Px prices'!E129^'Px wts'!E$41)*('Px prices'!F129^'Px wts'!F$41)*('Px prices'!D129^'Px wts'!D$41)*('Px prices'!H129^'Px wts'!H$41)*('Px prices'!G129^'Px wts'!G$41)*('Px prices'!J129^'Px wts'!J$41)*('Px prices'!K129^'Px wts'!K$41)*('Px prices'!I129^'Px wts'!I$41)*('Px prices'!L129^'Px wts'!L$41)*('Px prices'!M129^'Px wts'!M$41)</f>
        <v>12.207857312586912</v>
      </c>
    </row>
    <row r="131" spans="1:38">
      <c r="A131" s="4">
        <v>1906</v>
      </c>
      <c r="B131" s="56">
        <f t="shared" si="19"/>
        <v>86.175090110944268</v>
      </c>
      <c r="C131" s="75"/>
      <c r="F131" s="51"/>
      <c r="G131" s="51"/>
      <c r="H131" s="51"/>
      <c r="I131" s="51"/>
      <c r="J131" s="51">
        <f t="shared" si="17"/>
        <v>24.277983042336359</v>
      </c>
      <c r="K131" s="51">
        <f t="shared" si="18"/>
        <v>13.057207634893368</v>
      </c>
      <c r="L131" s="51"/>
      <c r="M131" s="51"/>
      <c r="N131" s="51"/>
      <c r="S131" s="65"/>
      <c r="T131" s="65"/>
      <c r="U131" s="65"/>
      <c r="V131" s="65"/>
      <c r="W131" s="65"/>
      <c r="X131" s="65"/>
      <c r="Y131" s="65"/>
      <c r="Z131" s="65"/>
      <c r="AA131" s="65"/>
      <c r="AB131" s="65"/>
      <c r="AC131" s="65"/>
      <c r="AF131" s="65">
        <f>('Px prices'!B130^'Px wts'!B$39)*('Px prices'!C130^'Px wts'!C$39)*('Px prices'!E130^'Px wts'!E$39)*('Px prices'!F130^'Px wts'!F$39)*('Px prices'!D130^'Px wts'!D$39)*('Px prices'!H130^'Px wts'!H$39)*('Px prices'!G130^'Px wts'!G$39)*('Px prices'!J130^'Px wts'!J$39)*('Px prices'!K130^'Px wts'!K$39)*('Px prices'!I130^'Px wts'!I$39)*('Px prices'!L130^'Px wts'!L$39)*('Px prices'!M130^'Px wts'!M$39)</f>
        <v>23.415241759719013</v>
      </c>
      <c r="AG131" s="65">
        <f>('Px prices'!B130^'Px wts'!B$41)*('Px prices'!C130^'Px wts'!C$41)*('Px prices'!E130^'Px wts'!E$41)*('Px prices'!F130^'Px wts'!F$41)*('Px prices'!D130^'Px wts'!D$41)*('Px prices'!H130^'Px wts'!H$41)*('Px prices'!G130^'Px wts'!G$41)*('Px prices'!J130^'Px wts'!J$41)*('Px prices'!K130^'Px wts'!K$41)*('Px prices'!I130^'Px wts'!I$41)*('Px prices'!L130^'Px wts'!L$41)*('Px prices'!M130^'Px wts'!M$41)</f>
        <v>13.057207634893368</v>
      </c>
    </row>
    <row r="132" spans="1:38">
      <c r="A132" s="4">
        <v>1907</v>
      </c>
      <c r="B132" s="56">
        <f t="shared" si="19"/>
        <v>89.222272840824502</v>
      </c>
      <c r="C132" s="75"/>
      <c r="F132" s="51"/>
      <c r="G132" s="51"/>
      <c r="H132" s="51"/>
      <c r="I132" s="51"/>
      <c r="J132" s="51">
        <f t="shared" si="17"/>
        <v>24.83065216627341</v>
      </c>
      <c r="K132" s="51">
        <f t="shared" si="18"/>
        <v>13.685411477124969</v>
      </c>
      <c r="L132" s="51"/>
      <c r="M132" s="51"/>
      <c r="N132" s="51"/>
      <c r="S132" s="65"/>
      <c r="T132" s="65"/>
      <c r="U132" s="65"/>
      <c r="V132" s="65"/>
      <c r="W132" s="65"/>
      <c r="X132" s="65"/>
      <c r="Y132" s="65"/>
      <c r="Z132" s="65"/>
      <c r="AA132" s="65"/>
      <c r="AB132" s="65"/>
      <c r="AC132" s="65"/>
      <c r="AF132" s="65">
        <f>('Px prices'!B131^'Px wts'!B$39)*('Px prices'!C131^'Px wts'!C$39)*('Px prices'!E131^'Px wts'!E$39)*('Px prices'!F131^'Px wts'!F$39)*('Px prices'!D131^'Px wts'!D$39)*('Px prices'!H131^'Px wts'!H$39)*('Px prices'!G131^'Px wts'!G$39)*('Px prices'!J131^'Px wts'!J$39)*('Px prices'!K131^'Px wts'!K$39)*('Px prices'!I131^'Px wts'!I$39)*('Px prices'!L131^'Px wts'!L$39)*('Px prices'!M131^'Px wts'!M$39)</f>
        <v>23.948271259226928</v>
      </c>
      <c r="AG132" s="65">
        <f>('Px prices'!B131^'Px wts'!B$41)*('Px prices'!C131^'Px wts'!C$41)*('Px prices'!E131^'Px wts'!E$41)*('Px prices'!F131^'Px wts'!F$41)*('Px prices'!D131^'Px wts'!D$41)*('Px prices'!H131^'Px wts'!H$41)*('Px prices'!G131^'Px wts'!G$41)*('Px prices'!J131^'Px wts'!J$41)*('Px prices'!K131^'Px wts'!K$41)*('Px prices'!I131^'Px wts'!I$41)*('Px prices'!L131^'Px wts'!L$41)*('Px prices'!M131^'Px wts'!M$41)</f>
        <v>13.685411477124969</v>
      </c>
    </row>
    <row r="133" spans="1:38">
      <c r="A133" s="4">
        <v>1908</v>
      </c>
      <c r="B133" s="56">
        <f t="shared" si="19"/>
        <v>80.595482477119205</v>
      </c>
      <c r="C133" s="75"/>
      <c r="F133" s="51"/>
      <c r="G133" s="51"/>
      <c r="H133" s="51"/>
      <c r="I133" s="51"/>
      <c r="J133" s="51">
        <f t="shared" si="17"/>
        <v>21.354959527792506</v>
      </c>
      <c r="K133" s="51">
        <f t="shared" si="18"/>
        <v>12.984405439277079</v>
      </c>
      <c r="L133" s="51"/>
      <c r="M133" s="51"/>
      <c r="N133" s="51"/>
      <c r="S133" s="65"/>
      <c r="T133" s="65"/>
      <c r="U133" s="65"/>
      <c r="V133" s="65"/>
      <c r="W133" s="65"/>
      <c r="X133" s="65"/>
      <c r="Y133" s="65"/>
      <c r="Z133" s="65"/>
      <c r="AA133" s="65"/>
      <c r="AB133" s="65"/>
      <c r="AC133" s="65"/>
      <c r="AF133" s="65">
        <f>('Px prices'!B132^'Px wts'!B$39)*('Px prices'!C132^'Px wts'!C$39)*('Px prices'!E132^'Px wts'!E$39)*('Px prices'!F132^'Px wts'!F$39)*('Px prices'!D132^'Px wts'!D$39)*('Px prices'!H132^'Px wts'!H$39)*('Px prices'!G132^'Px wts'!G$39)*('Px prices'!J132^'Px wts'!J$39)*('Px prices'!K132^'Px wts'!K$39)*('Px prices'!I132^'Px wts'!I$39)*('Px prices'!L132^'Px wts'!L$39)*('Px prices'!M132^'Px wts'!M$39)</f>
        <v>20.596090673607975</v>
      </c>
      <c r="AG133" s="65">
        <f>('Px prices'!B132^'Px wts'!B$41)*('Px prices'!C132^'Px wts'!C$41)*('Px prices'!E132^'Px wts'!E$41)*('Px prices'!F132^'Px wts'!F$41)*('Px prices'!D132^'Px wts'!D$41)*('Px prices'!H132^'Px wts'!H$41)*('Px prices'!G132^'Px wts'!G$41)*('Px prices'!J132^'Px wts'!J$41)*('Px prices'!K132^'Px wts'!K$41)*('Px prices'!I132^'Px wts'!I$41)*('Px prices'!L132^'Px wts'!L$41)*('Px prices'!M132^'Px wts'!M$41)</f>
        <v>12.984405439277079</v>
      </c>
    </row>
    <row r="134" spans="1:38">
      <c r="A134" s="4">
        <v>1909</v>
      </c>
      <c r="B134" s="56">
        <f t="shared" si="19"/>
        <v>93.156427258407035</v>
      </c>
      <c r="C134" s="75"/>
      <c r="F134" s="51"/>
      <c r="G134" s="51"/>
      <c r="H134" s="51"/>
      <c r="I134" s="51"/>
      <c r="J134" s="51">
        <f t="shared" si="17"/>
        <v>25.018092681617695</v>
      </c>
      <c r="K134" s="51">
        <f t="shared" si="18"/>
        <v>14.807129434356378</v>
      </c>
      <c r="L134" s="51"/>
      <c r="M134" s="51"/>
      <c r="N134" s="51"/>
      <c r="S134" s="65"/>
      <c r="T134" s="65"/>
      <c r="U134" s="65"/>
      <c r="V134" s="65"/>
      <c r="W134" s="65"/>
      <c r="X134" s="65"/>
      <c r="Y134" s="65"/>
      <c r="Z134" s="65"/>
      <c r="AA134" s="65"/>
      <c r="AB134" s="65"/>
      <c r="AC134" s="65"/>
      <c r="AF134" s="65">
        <f>('Px prices'!B133^'Px wts'!B$39)*('Px prices'!C133^'Px wts'!C$39)*('Px prices'!E133^'Px wts'!E$39)*('Px prices'!F133^'Px wts'!F$39)*('Px prices'!D133^'Px wts'!D$39)*('Px prices'!H133^'Px wts'!H$39)*('Px prices'!G133^'Px wts'!G$39)*('Px prices'!J133^'Px wts'!J$39)*('Px prices'!K133^'Px wts'!K$39)*('Px prices'!I133^'Px wts'!I$39)*('Px prices'!L133^'Px wts'!L$39)*('Px prices'!M133^'Px wts'!M$39)</f>
        <v>24.129050897086433</v>
      </c>
      <c r="AG134" s="65">
        <f>('Px prices'!B133^'Px wts'!B$41)*('Px prices'!C133^'Px wts'!C$41)*('Px prices'!E133^'Px wts'!E$41)*('Px prices'!F133^'Px wts'!F$41)*('Px prices'!D133^'Px wts'!D$41)*('Px prices'!H133^'Px wts'!H$41)*('Px prices'!G133^'Px wts'!G$41)*('Px prices'!J133^'Px wts'!J$41)*('Px prices'!K133^'Px wts'!K$41)*('Px prices'!I133^'Px wts'!I$41)*('Px prices'!L133^'Px wts'!L$41)*('Px prices'!M133^'Px wts'!M$41)</f>
        <v>14.807129434356378</v>
      </c>
    </row>
    <row r="135" spans="1:38">
      <c r="A135" s="4">
        <v>1910</v>
      </c>
      <c r="B135" s="56">
        <f t="shared" si="19"/>
        <v>100</v>
      </c>
      <c r="C135" s="75"/>
      <c r="F135" s="51"/>
      <c r="G135" s="51"/>
      <c r="H135" s="51"/>
      <c r="I135" s="51"/>
      <c r="J135" s="51">
        <f t="shared" si="17"/>
        <v>26.938698003022576</v>
      </c>
      <c r="K135" s="51">
        <f t="shared" si="18"/>
        <v>15.846115604306968</v>
      </c>
      <c r="L135" s="51">
        <f>AJ135</f>
        <v>15.875510403362812</v>
      </c>
      <c r="M135" s="51"/>
      <c r="N135" s="51"/>
      <c r="S135" s="65"/>
      <c r="T135" s="65"/>
      <c r="U135" s="65"/>
      <c r="V135" s="65"/>
      <c r="W135" s="65"/>
      <c r="X135" s="65"/>
      <c r="Y135" s="65"/>
      <c r="Z135" s="65"/>
      <c r="AA135" s="65"/>
      <c r="AB135" s="65"/>
      <c r="AC135" s="65"/>
      <c r="AF135" s="65">
        <f>('Px prices'!B134^'Px wts'!B$39)*('Px prices'!C134^'Px wts'!C$39)*('Px prices'!E134^'Px wts'!E$39)*('Px prices'!F134^'Px wts'!F$39)*('Px prices'!D134^'Px wts'!D$39)*('Px prices'!H134^'Px wts'!H$39)*('Px prices'!G134^'Px wts'!G$39)*('Px prices'!J134^'Px wts'!J$39)*('Px prices'!K134^'Px wts'!K$39)*('Px prices'!I134^'Px wts'!I$39)*('Px prices'!L134^'Px wts'!L$39)*('Px prices'!M134^'Px wts'!M$39)</f>
        <v>25.981405676611409</v>
      </c>
      <c r="AG135" s="65">
        <f>('Px prices'!B134^'Px wts'!B$41)*('Px prices'!C134^'Px wts'!C$41)*('Px prices'!E134^'Px wts'!E$41)*('Px prices'!F134^'Px wts'!F$41)*('Px prices'!D134^'Px wts'!D$41)*('Px prices'!H134^'Px wts'!H$41)*('Px prices'!G134^'Px wts'!G$41)*('Px prices'!J134^'Px wts'!J$41)*('Px prices'!K134^'Px wts'!K$41)*('Px prices'!I134^'Px wts'!I$41)*('Px prices'!L134^'Px wts'!L$41)*('Px prices'!M134^'Px wts'!M$41)</f>
        <v>15.846115604306968</v>
      </c>
      <c r="AH135" s="65">
        <f>('Px prices'!B134^'Px wts'!B$42)*('Px prices'!C134^'Px wts'!C$42)*('Px prices'!E134^'Px wts'!E$42)*('Px prices'!F134^'Px wts'!F$42)*('Px prices'!D134^'Px wts'!D$42)*('Px prices'!H134^'Px wts'!H$42)*('Px prices'!G134^'Px wts'!G$42)*('Px prices'!J134^'Px wts'!J$42)*('Px prices'!K134^'Px wts'!K$42)*('Px prices'!I134^'Px wts'!I$42)*('Px prices'!L134^'Px wts'!L$42)*('Px prices'!M134^'Px wts'!M$42)*('Px prices'!T134^'Px wts'!T$42)*('Px prices'!N134^'Px wts'!N$42)*('Px prices'!R134^'Px wts'!R$42)*('Px prices'!U134^'Px wts'!U$42)*('Px prices'!V134^'Px wts'!V$42)*('Px prices'!W134^'Px wts'!W$42)*('Px prices'!O134^'Px wts'!O$42)*('Px prices'!Q134^'Px wts'!Q$42)*('Px prices'!P134^'Px wts'!P$42)*('Px prices'!S134^'Px wts'!S$42)*('Px prices'!X134^'Px wts'!X$42)</f>
        <v>17.032039808883514</v>
      </c>
      <c r="AJ135" s="65">
        <f>('Px prices'!B134^'Px wts'!B$45)*('Px prices'!C134^'Px wts'!C$45)*('Px prices'!E134^'Px wts'!E$45)*('Px prices'!F134^'Px wts'!F$45)*('Px prices'!H134^'Px wts'!H$45)*('Px prices'!J134^'Px wts'!J$45)*('Px prices'!K134^'Px wts'!K$45)*('Px prices'!I134^'Px wts'!I$45)*('Px prices'!L134^'Px wts'!L$45)*('Px prices'!T134^'Px wts'!T$45)*('Px prices'!N134^'Px wts'!N$45)*('Px prices'!R134^'Px wts'!R$45)*('Px prices'!U134^'Px wts'!U$45)*('Px prices'!V134^'Px wts'!V$45)*('Px prices'!W134^'Px wts'!W$45)*('Px prices'!O134^'Px wts'!O$45)*('Px prices'!Q134^'Px wts'!Q$45)*('Px prices'!P134^'Px wts'!P$45)*('Px prices'!S134^'Px wts'!S$45)*('Px prices'!X134^'Px wts'!X$45)</f>
        <v>15.875510403362812</v>
      </c>
    </row>
    <row r="136" spans="1:38">
      <c r="A136" s="4">
        <v>1911</v>
      </c>
      <c r="B136" s="56">
        <f t="shared" ref="B136:B150" si="20">(GEOMEAN(K136:L136)/GEOMEAN(K$135:L$135))*B$135</f>
        <v>98.465790902939986</v>
      </c>
      <c r="C136" s="75"/>
      <c r="F136" s="51"/>
      <c r="G136" s="51"/>
      <c r="H136" s="51"/>
      <c r="I136" s="51"/>
      <c r="J136" s="51"/>
      <c r="K136" s="51">
        <f>(AH136/AH$135)*K$135</f>
        <v>15.586290858009995</v>
      </c>
      <c r="L136" s="51">
        <f>AJ136</f>
        <v>15.648708031793403</v>
      </c>
      <c r="M136" s="51"/>
      <c r="N136" s="51"/>
      <c r="S136" s="65"/>
      <c r="T136" s="65"/>
      <c r="U136" s="65"/>
      <c r="V136" s="65"/>
      <c r="W136" s="65"/>
      <c r="X136" s="65"/>
      <c r="Y136" s="65"/>
      <c r="Z136" s="65"/>
      <c r="AA136" s="65"/>
      <c r="AB136" s="65"/>
      <c r="AC136" s="65"/>
      <c r="AG136" s="65"/>
      <c r="AH136" s="65">
        <f>('Px prices'!B135^'Px wts'!B$42)*('Px prices'!C135^'Px wts'!C$42)*('Px prices'!E135^'Px wts'!E$42)*('Px prices'!F135^'Px wts'!F$42)*('Px prices'!D135^'Px wts'!D$42)*('Px prices'!H135^'Px wts'!H$42)*('Px prices'!G135^'Px wts'!G$42)*('Px prices'!J135^'Px wts'!J$42)*('Px prices'!K135^'Px wts'!K$42)*('Px prices'!I135^'Px wts'!I$42)*('Px prices'!L135^'Px wts'!L$42)*('Px prices'!M135^'Px wts'!M$42)*('Px prices'!T135^'Px wts'!T$42)*('Px prices'!N135^'Px wts'!N$42)*('Px prices'!R135^'Px wts'!R$42)*('Px prices'!U135^'Px wts'!U$42)*('Px prices'!V135^'Px wts'!V$42)*('Px prices'!W135^'Px wts'!W$42)*('Px prices'!O135^'Px wts'!O$42)*('Px prices'!Q135^'Px wts'!Q$42)*('Px prices'!P135^'Px wts'!P$42)*('Px prices'!S135^'Px wts'!S$42)*('Px prices'!X135^'Px wts'!X$42)</f>
        <v>16.752769763607542</v>
      </c>
      <c r="AJ136" s="65">
        <f>('Px prices'!B135^'Px wts'!B$45)*('Px prices'!C135^'Px wts'!C$45)*('Px prices'!E135^'Px wts'!E$45)*('Px prices'!F135^'Px wts'!F$45)*('Px prices'!H135^'Px wts'!H$45)*('Px prices'!J135^'Px wts'!J$45)*('Px prices'!K135^'Px wts'!K$45)*('Px prices'!I135^'Px wts'!I$45)*('Px prices'!L135^'Px wts'!L$45)*('Px prices'!T135^'Px wts'!T$45)*('Px prices'!N135^'Px wts'!N$45)*('Px prices'!R135^'Px wts'!R$45)*('Px prices'!U135^'Px wts'!U$45)*('Px prices'!V135^'Px wts'!V$45)*('Px prices'!W135^'Px wts'!W$45)*('Px prices'!O135^'Px wts'!O$45)*('Px prices'!Q135^'Px wts'!Q$45)*('Px prices'!P135^'Px wts'!P$45)*('Px prices'!S135^'Px wts'!S$45)*('Px prices'!X135^'Px wts'!X$45)</f>
        <v>15.648708031793403</v>
      </c>
    </row>
    <row r="137" spans="1:38">
      <c r="A137" s="4">
        <v>1912</v>
      </c>
      <c r="B137" s="56">
        <f t="shared" si="20"/>
        <v>98.501370146834063</v>
      </c>
      <c r="C137" s="75"/>
      <c r="F137" s="51"/>
      <c r="G137" s="51"/>
      <c r="H137" s="51"/>
      <c r="I137" s="51"/>
      <c r="J137" s="51"/>
      <c r="K137" s="51">
        <f>(AH137/AH$135)*K$135</f>
        <v>15.503993263983714</v>
      </c>
      <c r="L137" s="51">
        <f>AJ137</f>
        <v>15.743144763454323</v>
      </c>
      <c r="M137" s="51"/>
      <c r="N137" s="51"/>
      <c r="S137" s="65"/>
      <c r="T137" s="65"/>
      <c r="U137" s="65"/>
      <c r="V137" s="65"/>
      <c r="W137" s="65"/>
      <c r="X137" s="65"/>
      <c r="Y137" s="65"/>
      <c r="Z137" s="65"/>
      <c r="AA137" s="65"/>
      <c r="AB137" s="65"/>
      <c r="AC137" s="65"/>
      <c r="AG137" s="65"/>
      <c r="AH137" s="65">
        <f>('Px prices'!B136^'Px wts'!B$42)*('Px prices'!C136^'Px wts'!C$42)*('Px prices'!E136^'Px wts'!E$42)*('Px prices'!F136^'Px wts'!F$42)*('Px prices'!D136^'Px wts'!D$42)*('Px prices'!H136^'Px wts'!H$42)*('Px prices'!G136^'Px wts'!G$42)*('Px prices'!J136^'Px wts'!J$42)*('Px prices'!K136^'Px wts'!K$42)*('Px prices'!I136^'Px wts'!I$42)*('Px prices'!L136^'Px wts'!L$42)*('Px prices'!M136^'Px wts'!M$42)*('Px prices'!T136^'Px wts'!T$42)*('Px prices'!N136^'Px wts'!N$42)*('Px prices'!R136^'Px wts'!R$42)*('Px prices'!U136^'Px wts'!U$42)*('Px prices'!V136^'Px wts'!V$42)*('Px prices'!W136^'Px wts'!W$42)*('Px prices'!O136^'Px wts'!O$42)*('Px prices'!Q136^'Px wts'!Q$42)*('Px prices'!P136^'Px wts'!P$42)*('Px prices'!S136^'Px wts'!S$42)*('Px prices'!X136^'Px wts'!X$42)</f>
        <v>16.664313012903921</v>
      </c>
      <c r="AJ137" s="65">
        <f>('Px prices'!B136^'Px wts'!B$45)*('Px prices'!C136^'Px wts'!C$45)*('Px prices'!E136^'Px wts'!E$45)*('Px prices'!F136^'Px wts'!F$45)*('Px prices'!H136^'Px wts'!H$45)*('Px prices'!J136^'Px wts'!J$45)*('Px prices'!K136^'Px wts'!K$45)*('Px prices'!I136^'Px wts'!I$45)*('Px prices'!L136^'Px wts'!L$45)*('Px prices'!T136^'Px wts'!T$45)*('Px prices'!N136^'Px wts'!N$45)*('Px prices'!R136^'Px wts'!R$45)*('Px prices'!U136^'Px wts'!U$45)*('Px prices'!V136^'Px wts'!V$45)*('Px prices'!W136^'Px wts'!W$45)*('Px prices'!O136^'Px wts'!O$45)*('Px prices'!Q136^'Px wts'!Q$45)*('Px prices'!P136^'Px wts'!P$45)*('Px prices'!S136^'Px wts'!S$45)*('Px prices'!X136^'Px wts'!X$45)</f>
        <v>15.743144763454323</v>
      </c>
    </row>
    <row r="138" spans="1:38">
      <c r="A138" s="4">
        <v>1913</v>
      </c>
      <c r="B138" s="56">
        <f t="shared" si="20"/>
        <v>100.07810763396188</v>
      </c>
      <c r="C138" s="75"/>
      <c r="F138" s="51"/>
      <c r="G138" s="51"/>
      <c r="H138" s="51"/>
      <c r="I138" s="51"/>
      <c r="J138" s="51"/>
      <c r="K138" s="51">
        <f>(AH138/AH$135)*K$135</f>
        <v>15.754227013710366</v>
      </c>
      <c r="L138" s="51">
        <f>AJ138</f>
        <v>15.993060757214195</v>
      </c>
      <c r="M138" s="51"/>
      <c r="N138" s="51"/>
      <c r="S138" s="65"/>
      <c r="T138" s="65"/>
      <c r="U138" s="65"/>
      <c r="V138" s="65"/>
      <c r="W138" s="65"/>
      <c r="X138" s="65"/>
      <c r="Y138" s="65"/>
      <c r="Z138" s="65"/>
      <c r="AA138" s="65"/>
      <c r="AB138" s="65"/>
      <c r="AC138" s="65"/>
      <c r="AG138" s="65"/>
      <c r="AH138" s="65">
        <f>('Px prices'!B137^'Px wts'!B$42)*('Px prices'!C137^'Px wts'!C$42)*('Px prices'!E137^'Px wts'!E$42)*('Px prices'!F137^'Px wts'!F$42)*('Px prices'!D137^'Px wts'!D$42)*('Px prices'!H137^'Px wts'!H$42)*('Px prices'!G137^'Px wts'!G$42)*('Px prices'!J137^'Px wts'!J$42)*('Px prices'!K137^'Px wts'!K$42)*('Px prices'!I137^'Px wts'!I$42)*('Px prices'!L137^'Px wts'!L$42)*('Px prices'!M137^'Px wts'!M$42)*('Px prices'!T137^'Px wts'!T$42)*('Px prices'!N137^'Px wts'!N$42)*('Px prices'!R137^'Px wts'!R$42)*('Px prices'!U137^'Px wts'!U$42)*('Px prices'!V137^'Px wts'!V$42)*('Px prices'!W137^'Px wts'!W$42)*('Px prices'!O137^'Px wts'!O$42)*('Px prices'!Q137^'Px wts'!Q$42)*('Px prices'!P137^'Px wts'!P$42)*('Px prices'!S137^'Px wts'!S$42)*('Px prices'!X137^'Px wts'!X$42)</f>
        <v>16.933274270873799</v>
      </c>
      <c r="AI138" s="65">
        <f>('Px prices'!B137^'Px wts'!B$43)*('Px prices'!C137^'Px wts'!C$43)*('Px prices'!E137^'Px wts'!E$43)*('Px prices'!F137^'Px wts'!F$43)*('Px prices'!H137^'Px wts'!H$43)*('Px prices'!J137^'Px wts'!J$43)*('Px prices'!K137^'Px wts'!K$43)*('Px prices'!I137^'Px wts'!I$43)*('Px prices'!L137^'Px wts'!L$43)*('Px prices'!T137^'Px wts'!T$43)*('Px prices'!N137^'Px wts'!N$43)*('Px prices'!R137^'Px wts'!R$43)*('Px prices'!U137^'Px wts'!U$43)*('Px prices'!V137^'Px wts'!V$43)*('Px prices'!W137^'Px wts'!W$43)*('Px prices'!O137^'Px wts'!O$43)*('Px prices'!Q137^'Px wts'!Q$43)*('Px prices'!P137^'Px wts'!P$43)*('Px prices'!S137^'Px wts'!S$43)*('Px prices'!X137^'Px wts'!X$43)</f>
        <v>16.841839211536513</v>
      </c>
      <c r="AJ138" s="65">
        <f>('Px prices'!B137^'Px wts'!B$45)*('Px prices'!C137^'Px wts'!C$45)*('Px prices'!E137^'Px wts'!E$45)*('Px prices'!F137^'Px wts'!F$45)*('Px prices'!H137^'Px wts'!H$45)*('Px prices'!J137^'Px wts'!J$45)*('Px prices'!K137^'Px wts'!K$45)*('Px prices'!I137^'Px wts'!I$45)*('Px prices'!L137^'Px wts'!L$45)*('Px prices'!T137^'Px wts'!T$45)*('Px prices'!N137^'Px wts'!N$45)*('Px prices'!R137^'Px wts'!R$45)*('Px prices'!U137^'Px wts'!U$45)*('Px prices'!V137^'Px wts'!V$45)*('Px prices'!W137^'Px wts'!W$45)*('Px prices'!O137^'Px wts'!O$45)*('Px prices'!Q137^'Px wts'!Q$45)*('Px prices'!P137^'Px wts'!P$45)*('Px prices'!S137^'Px wts'!S$45)*('Px prices'!X137^'Px wts'!X$45)</f>
        <v>15.993060757214195</v>
      </c>
    </row>
    <row r="139" spans="1:38">
      <c r="A139" s="4">
        <v>1914</v>
      </c>
      <c r="B139" s="56">
        <f t="shared" si="20"/>
        <v>103.69015097121756</v>
      </c>
      <c r="C139" s="75"/>
      <c r="K139" s="51">
        <f t="shared" ref="K139:K150" si="21">(AI139/AI$138)*K$138</f>
        <v>16.20453916746505</v>
      </c>
      <c r="L139" s="51">
        <f>AJ139</f>
        <v>16.691249370150711</v>
      </c>
      <c r="AI139" s="65">
        <f>('Px prices'!B138^'Px wts'!B$43)*('Px prices'!C138^'Px wts'!C$43)*('Px prices'!E138^'Px wts'!E$43)*('Px prices'!F138^'Px wts'!F$43)*('Px prices'!H138^'Px wts'!H$43)*('Px prices'!J138^'Px wts'!J$43)*('Px prices'!K138^'Px wts'!K$43)*('Px prices'!I138^'Px wts'!I$43)*('Px prices'!L138^'Px wts'!L$43)*('Px prices'!T138^'Px wts'!T$43)*('Px prices'!N138^'Px wts'!N$43)*('Px prices'!R138^'Px wts'!R$43)*('Px prices'!U138^'Px wts'!U$43)*('Px prices'!V138^'Px wts'!V$43)*('Px prices'!W138^'Px wts'!W$43)*('Px prices'!O138^'Px wts'!O$43)*('Px prices'!Q138^'Px wts'!Q$43)*('Px prices'!P138^'Px wts'!P$43)*('Px prices'!S138^'Px wts'!S$43)*('Px prices'!X138^'Px wts'!X$43)</f>
        <v>17.323239211799105</v>
      </c>
      <c r="AJ139" s="65">
        <f t="array" ref="AJ139">('Px prices'!B138^'Px wts'!B$45)*('Px prices'!C138^'Px wts'!C$45)*('Px prices'!E138^'Px wts'!E$45)*('Px prices'!F138^'Px wts'!F$45)*('Px prices'!H138^'Px wts'!H$45)*('Px prices'!J138^'Px wts'!J$45)*('Px prices'!K138^'Px wts'!K$45)*('Px prices'!I138^'Px wts'!I$45)*('Px prices'!L138^'Px wts'!L$45)*('Px prices'!T138^'Px wts'!T$45)*('Px prices'!N138^'Px wts'!N$45)*('Px prices'!R138^'Px wts'!R$45)*('Px prices'!U138^'Px wts'!U$45)*('Px prices'!V138^'Px wts'!V$45)*('Px prices'!W138^'Px wts'!W$45)*('Px prices'!O138^'Px wts'!O$45)*('Px prices'!Q138^'Px wts'!Q$45)*('Px prices'!P138^'Px wts'!P$45)*('Px prices'!S138^'Px wts'!S$45)*('Px prices'!X138^'Px wts'!X$45)</f>
        <v>16.691249370150711</v>
      </c>
      <c r="AK139" s="51">
        <f>('Px prices'!B138^'Px wts'!B$46)*('Px prices'!C138^'Px wts'!C$46)*('Px prices'!E138^'Px wts'!E$46)*('Px prices'!F138^'Px wts'!F$46)*('Px prices'!H138^'Px wts'!H$46)*('Px prices'!J138^'Px wts'!J$46)*('Px prices'!K138^'Px wts'!K$46)*('Px prices'!I138^'Px wts'!I$46)*('Px prices'!L138^'Px wts'!L$46)*('Px prices'!T138^'Px wts'!T$46)*('Px prices'!N138^'Px wts'!N$46)*('Px prices'!R138^'Px wts'!R$46)*('Px prices'!U138^'Px wts'!U$46)*('Px prices'!V138^'Px wts'!V$46)*('Px prices'!W138^'Px wts'!W$46)*('Px prices'!O138^'Px wts'!O$46)*('Px prices'!Q138^'Px wts'!Q$46)*('Px prices'!P138^'Px wts'!P$46)*('Px prices'!S138^'Px wts'!S$46)*('Px prices'!X138^'Px wts'!X$46)*('Px prices'!Y138^'Px wts'!Y$46)*('Px prices'!Z138^'Px wts'!Z$46)</f>
        <v>16.842715351824484</v>
      </c>
    </row>
    <row r="140" spans="1:38">
      <c r="A140" s="4">
        <v>1915</v>
      </c>
      <c r="B140" s="56">
        <f t="shared" si="20"/>
        <v>117.7583755617058</v>
      </c>
      <c r="C140" s="75"/>
      <c r="K140" s="51">
        <f t="shared" si="21"/>
        <v>18.160367065119623</v>
      </c>
      <c r="L140" s="51">
        <f>(AK140/AK$139)*L$139</f>
        <v>19.209210099163464</v>
      </c>
      <c r="AI140" s="65">
        <f>('Px prices'!B139^'Px wts'!B$43)*('Px prices'!C139^'Px wts'!C$43)*('Px prices'!E139^'Px wts'!E$43)*('Px prices'!F139^'Px wts'!F$43)*('Px prices'!H139^'Px wts'!H$43)*('Px prices'!J139^'Px wts'!J$43)*('Px prices'!K139^'Px wts'!K$43)*('Px prices'!I139^'Px wts'!I$43)*('Px prices'!L139^'Px wts'!L$43)*('Px prices'!T139^'Px wts'!T$43)*('Px prices'!N139^'Px wts'!N$43)*('Px prices'!R139^'Px wts'!R$43)*('Px prices'!U139^'Px wts'!U$43)*('Px prices'!V139^'Px wts'!V$43)*('Px prices'!W139^'Px wts'!W$43)*('Px prices'!O139^'Px wts'!O$43)*('Px prices'!Q139^'Px wts'!Q$43)*('Px prices'!P139^'Px wts'!P$43)*('Px prices'!S139^'Px wts'!S$43)*('Px prices'!X139^'Px wts'!X$43)</f>
        <v>19.41409006402241</v>
      </c>
      <c r="AJ140" s="65"/>
      <c r="AK140" s="51">
        <f>('Px prices'!B139^'Px wts'!B$46)*('Px prices'!C139^'Px wts'!C$46)*('Px prices'!E139^'Px wts'!E$46)*('Px prices'!F139^'Px wts'!F$46)*('Px prices'!H139^'Px wts'!H$46)*('Px prices'!J139^'Px wts'!J$46)*('Px prices'!K139^'Px wts'!K$46)*('Px prices'!I139^'Px wts'!I$46)*('Px prices'!L139^'Px wts'!L$46)*('Px prices'!T139^'Px wts'!T$46)*('Px prices'!N139^'Px wts'!N$46)*('Px prices'!R139^'Px wts'!R$46)*('Px prices'!U139^'Px wts'!U$46)*('Px prices'!V139^'Px wts'!V$46)*('Px prices'!W139^'Px wts'!W$46)*('Px prices'!O139^'Px wts'!O$46)*('Px prices'!Q139^'Px wts'!Q$46)*('Px prices'!P139^'Px wts'!P$46)*('Px prices'!S139^'Px wts'!S$46)*('Px prices'!X139^'Px wts'!X$46)*('Px prices'!Y139^'Px wts'!Y$46)*('Px prices'!Z139^'Px wts'!Z$46)</f>
        <v>19.383525502422057</v>
      </c>
    </row>
    <row r="141" spans="1:38">
      <c r="A141" s="4">
        <v>1916</v>
      </c>
      <c r="B141" s="56">
        <f t="shared" si="20"/>
        <v>127.93104492421763</v>
      </c>
      <c r="C141" s="75"/>
      <c r="K141" s="51">
        <f t="shared" si="21"/>
        <v>20.013992678422191</v>
      </c>
      <c r="L141" s="51">
        <f>(AK141/AK$139)*L$139</f>
        <v>20.571628583937795</v>
      </c>
      <c r="AI141" s="65">
        <f>('Px prices'!B140^'Px wts'!B$43)*('Px prices'!C140^'Px wts'!C$43)*('Px prices'!E140^'Px wts'!E$43)*('Px prices'!F140^'Px wts'!F$43)*('Px prices'!H140^'Px wts'!H$43)*('Px prices'!J140^'Px wts'!J$43)*('Px prices'!K140^'Px wts'!K$43)*('Px prices'!I140^'Px wts'!I$43)*('Px prices'!L140^'Px wts'!L$43)*('Px prices'!T140^'Px wts'!T$43)*('Px prices'!N140^'Px wts'!N$43)*('Px prices'!R140^'Px wts'!R$43)*('Px prices'!U140^'Px wts'!U$43)*('Px prices'!V140^'Px wts'!V$43)*('Px prices'!W140^'Px wts'!W$43)*('Px prices'!O140^'Px wts'!O$43)*('Px prices'!Q140^'Px wts'!Q$43)*('Px prices'!P140^'Px wts'!P$43)*('Px prices'!S140^'Px wts'!S$43)*('Px prices'!X140^'Px wts'!X$43)</f>
        <v>21.395682973053066</v>
      </c>
      <c r="AJ141" s="65"/>
      <c r="AK141" s="51">
        <f>('Px prices'!B140^'Px wts'!B$46)*('Px prices'!C140^'Px wts'!C$46)*('Px prices'!E140^'Px wts'!E$46)*('Px prices'!F140^'Px wts'!F$46)*('Px prices'!H140^'Px wts'!H$46)*('Px prices'!J140^'Px wts'!J$46)*('Px prices'!K140^'Px wts'!K$46)*('Px prices'!I140^'Px wts'!I$46)*('Px prices'!L140^'Px wts'!L$46)*('Px prices'!T140^'Px wts'!T$46)*('Px prices'!N140^'Px wts'!N$46)*('Px prices'!R140^'Px wts'!R$46)*('Px prices'!U140^'Px wts'!U$46)*('Px prices'!V140^'Px wts'!V$46)*('Px prices'!W140^'Px wts'!W$46)*('Px prices'!O140^'Px wts'!O$46)*('Px prices'!Q140^'Px wts'!Q$46)*('Px prices'!P140^'Px wts'!P$46)*('Px prices'!S140^'Px wts'!S$46)*('Px prices'!X140^'Px wts'!X$46)*('Px prices'!Y140^'Px wts'!Y$46)*('Px prices'!Z140^'Px wts'!Z$46)</f>
        <v>20.75830735489107</v>
      </c>
      <c r="AL141" s="51">
        <f>('Px prices'!B140^'Px wts'!B$47)*('Px prices'!C140^'Px wts'!C$47)*('Px prices'!E140^'Px wts'!E$47)*('Px prices'!F140^'Px wts'!F$47)*('Px prices'!H140^'Px wts'!H$47)*('Px prices'!J140^'Px wts'!J$47)*('Px prices'!K140^'Px wts'!K$47)*('Px prices'!I140^'Px wts'!I$47)*('Px prices'!L140^'Px wts'!L$47)*('Px prices'!T140^'Px wts'!T$47)*('Px prices'!N140^'Px wts'!N$47)*('Px prices'!R140^'Px wts'!R$47)*('Px prices'!U140^'Px wts'!U$47)*('Px prices'!V140^'Px wts'!V$47)*('Px prices'!W140^'Px wts'!W$47)*('Px prices'!O140^'Px wts'!O$47)*('Px prices'!Q140^'Px wts'!Q$47)*('Px prices'!P140^'Px wts'!P$47)*('Px prices'!S140^'Px wts'!S$47)*('Px prices'!X140^'Px wts'!X$47)*('Px prices'!Y140^'Px wts'!Y$47)*('Px prices'!Z140^'Px wts'!Z$47)*('Px prices'!AA140^'Px wts'!AA$47)*('Px prices'!AC140^'Px wts'!AC$47)*('Px prices'!AD140^'Px wts'!AD$47)*('Px prices'!AB140^'Px wts'!AB$47)*('Px prices'!AE140^'Px wts'!AE$47)</f>
        <v>21.173711062105596</v>
      </c>
    </row>
    <row r="142" spans="1:38">
      <c r="A142" s="4">
        <v>1917</v>
      </c>
      <c r="B142" s="56">
        <f t="shared" si="20"/>
        <v>174.93284526876985</v>
      </c>
      <c r="C142" s="75"/>
      <c r="K142" s="51">
        <f t="shared" si="21"/>
        <v>27.855700396839026</v>
      </c>
      <c r="L142" s="51">
        <f>(AL142/AL$141)*L$141</f>
        <v>27.636252633566194</v>
      </c>
      <c r="AI142" s="65">
        <f>('Px prices'!B141^'Px wts'!B$43)*('Px prices'!C141^'Px wts'!C$43)*('Px prices'!E141^'Px wts'!E$43)*('Px prices'!F141^'Px wts'!F$43)*('Px prices'!H141^'Px wts'!H$43)*('Px prices'!J141^'Px wts'!J$43)*('Px prices'!K141^'Px wts'!K$43)*('Px prices'!I141^'Px wts'!I$43)*('Px prices'!L141^'Px wts'!L$43)*('Px prices'!T141^'Px wts'!T$43)*('Px prices'!N141^'Px wts'!N$43)*('Px prices'!R141^'Px wts'!R$43)*('Px prices'!U141^'Px wts'!U$43)*('Px prices'!V141^'Px wts'!V$43)*('Px prices'!W141^'Px wts'!W$43)*('Px prices'!O141^'Px wts'!O$43)*('Px prices'!Q141^'Px wts'!Q$43)*('Px prices'!P141^'Px wts'!P$43)*('Px prices'!S141^'Px wts'!S$43)*('Px prices'!X141^'Px wts'!X$43)</f>
        <v>29.778752508772349</v>
      </c>
      <c r="AJ142" s="65"/>
      <c r="AK142" s="51"/>
      <c r="AL142" s="51">
        <f>('Px prices'!B141^'Px wts'!B$47)*('Px prices'!C141^'Px wts'!C$47)*('Px prices'!E141^'Px wts'!E$47)*('Px prices'!F141^'Px wts'!F$47)*('Px prices'!H141^'Px wts'!H$47)*('Px prices'!J141^'Px wts'!J$47)*('Px prices'!K141^'Px wts'!K$47)*('Px prices'!I141^'Px wts'!I$47)*('Px prices'!L141^'Px wts'!L$47)*('Px prices'!T141^'Px wts'!T$47)*('Px prices'!N141^'Px wts'!N$47)*('Px prices'!R141^'Px wts'!R$47)*('Px prices'!U141^'Px wts'!U$47)*('Px prices'!V141^'Px wts'!V$47)*('Px prices'!W141^'Px wts'!W$47)*('Px prices'!O141^'Px wts'!O$47)*('Px prices'!Q141^'Px wts'!Q$47)*('Px prices'!P141^'Px wts'!P$47)*('Px prices'!S141^'Px wts'!S$47)*('Px prices'!X141^'Px wts'!X$47)*('Px prices'!Y141^'Px wts'!Y$47)*('Px prices'!Z141^'Px wts'!Z$47)*('Px prices'!AA141^'Px wts'!AA$47)*('Px prices'!AC141^'Px wts'!AC$47)*('Px prices'!AD141^'Px wts'!AD$47)*('Px prices'!AB141^'Px wts'!AB$47)*('Px prices'!AE141^'Px wts'!AE$47)</f>
        <v>28.445099799214557</v>
      </c>
    </row>
    <row r="143" spans="1:38">
      <c r="A143" s="4">
        <v>1918</v>
      </c>
      <c r="B143" s="56">
        <f t="shared" si="20"/>
        <v>160.56092300184665</v>
      </c>
      <c r="C143" s="75"/>
      <c r="K143" s="51">
        <f t="shared" si="21"/>
        <v>25.747469768283473</v>
      </c>
      <c r="L143" s="51">
        <f>(AL143/AL$141)*L$141</f>
        <v>25.188115271299111</v>
      </c>
      <c r="AI143" s="65">
        <f>('Px prices'!B142^'Px wts'!B$43)*('Px prices'!C142^'Px wts'!C$43)*('Px prices'!E142^'Px wts'!E$43)*('Px prices'!F142^'Px wts'!F$43)*('Px prices'!H142^'Px wts'!H$43)*('Px prices'!J142^'Px wts'!J$43)*('Px prices'!K142^'Px wts'!K$43)*('Px prices'!I142^'Px wts'!I$43)*('Px prices'!L142^'Px wts'!L$43)*('Px prices'!T142^'Px wts'!T$43)*('Px prices'!N142^'Px wts'!N$43)*('Px prices'!R142^'Px wts'!R$43)*('Px prices'!U142^'Px wts'!U$43)*('Px prices'!V142^'Px wts'!V$43)*('Px prices'!W142^'Px wts'!W$43)*('Px prices'!O142^'Px wts'!O$43)*('Px prices'!Q142^'Px wts'!Q$43)*('Px prices'!P142^'Px wts'!P$43)*('Px prices'!S142^'Px wts'!S$43)*('Px prices'!X142^'Px wts'!X$43)</f>
        <v>27.524977618003724</v>
      </c>
      <c r="AJ143" s="65"/>
      <c r="AK143" s="51"/>
      <c r="AL143" s="51">
        <f>('Px prices'!B142^'Px wts'!B$47)*('Px prices'!C142^'Px wts'!C$47)*('Px prices'!E142^'Px wts'!E$47)*('Px prices'!F142^'Px wts'!F$47)*('Px prices'!H142^'Px wts'!H$47)*('Px prices'!J142^'Px wts'!J$47)*('Px prices'!K142^'Px wts'!K$47)*('Px prices'!I142^'Px wts'!I$47)*('Px prices'!L142^'Px wts'!L$47)*('Px prices'!T142^'Px wts'!T$47)*('Px prices'!N142^'Px wts'!N$47)*('Px prices'!R142^'Px wts'!R$47)*('Px prices'!U142^'Px wts'!U$47)*('Px prices'!V142^'Px wts'!V$47)*('Px prices'!W142^'Px wts'!W$47)*('Px prices'!O142^'Px wts'!O$47)*('Px prices'!Q142^'Px wts'!Q$47)*('Px prices'!P142^'Px wts'!P$47)*('Px prices'!S142^'Px wts'!S$47)*('Px prices'!X142^'Px wts'!X$47)*('Px prices'!Y142^'Px wts'!Y$47)*('Px prices'!Z142^'Px wts'!Z$47)*('Px prices'!AA142^'Px wts'!AA$47)*('Px prices'!AC142^'Px wts'!AC$47)*('Px prices'!AD142^'Px wts'!AD$47)*('Px prices'!AB142^'Px wts'!AB$47)*('Px prices'!AE142^'Px wts'!AE$47)</f>
        <v>25.925311298392515</v>
      </c>
    </row>
    <row r="144" spans="1:38">
      <c r="A144" s="4">
        <v>1919</v>
      </c>
      <c r="B144" s="56">
        <f t="shared" si="20"/>
        <v>194.65135544918166</v>
      </c>
      <c r="C144" s="75"/>
      <c r="K144" s="51">
        <f t="shared" si="21"/>
        <v>30.913711863732573</v>
      </c>
      <c r="L144" s="51">
        <f>(AL144/AL$141)*L$141</f>
        <v>30.832889516173712</v>
      </c>
      <c r="AI144" s="65">
        <f>('Px prices'!B143^'Px wts'!B$43)*('Px prices'!C143^'Px wts'!C$43)*('Px prices'!E143^'Px wts'!E$43)*('Px prices'!F143^'Px wts'!F$43)*('Px prices'!H143^'Px wts'!H$43)*('Px prices'!J143^'Px wts'!J$43)*('Px prices'!K143^'Px wts'!K$43)*('Px prices'!I143^'Px wts'!I$43)*('Px prices'!L143^'Px wts'!L$43)*('Px prices'!T143^'Px wts'!T$43)*('Px prices'!N143^'Px wts'!N$43)*('Px prices'!R143^'Px wts'!R$43)*('Px prices'!U143^'Px wts'!U$43)*('Px prices'!V143^'Px wts'!V$43)*('Px prices'!W143^'Px wts'!W$43)*('Px prices'!O143^'Px wts'!O$43)*('Px prices'!Q143^'Px wts'!Q$43)*('Px prices'!P143^'Px wts'!P$43)*('Px prices'!S143^'Px wts'!S$43)*('Px prices'!X143^'Px wts'!X$43)</f>
        <v>33.047877511708712</v>
      </c>
      <c r="AJ144" s="65"/>
      <c r="AK144" s="51"/>
      <c r="AL144" s="51">
        <f>('Px prices'!B143^'Px wts'!B$47)*('Px prices'!C143^'Px wts'!C$47)*('Px prices'!E143^'Px wts'!E$47)*('Px prices'!F143^'Px wts'!F$47)*('Px prices'!H143^'Px wts'!H$47)*('Px prices'!J143^'Px wts'!J$47)*('Px prices'!K143^'Px wts'!K$47)*('Px prices'!I143^'Px wts'!I$47)*('Px prices'!L143^'Px wts'!L$47)*('Px prices'!T143^'Px wts'!T$47)*('Px prices'!N143^'Px wts'!N$47)*('Px prices'!R143^'Px wts'!R$47)*('Px prices'!U143^'Px wts'!U$47)*('Px prices'!V143^'Px wts'!V$47)*('Px prices'!W143^'Px wts'!W$47)*('Px prices'!O143^'Px wts'!O$47)*('Px prices'!Q143^'Px wts'!Q$47)*('Px prices'!P143^'Px wts'!P$47)*('Px prices'!S143^'Px wts'!S$47)*('Px prices'!X143^'Px wts'!X$47)*('Px prices'!Y143^'Px wts'!Y$47)*('Px prices'!Z143^'Px wts'!Z$47)*('Px prices'!AA143^'Px wts'!AA$47)*('Px prices'!AC143^'Px wts'!AC$47)*('Px prices'!AD143^'Px wts'!AD$47)*('Px prices'!AB143^'Px wts'!AB$47)*('Px prices'!AE143^'Px wts'!AE$47)</f>
        <v>31.735294615178198</v>
      </c>
    </row>
    <row r="145" spans="1:40">
      <c r="A145" s="4">
        <v>1920</v>
      </c>
      <c r="B145" s="56">
        <f t="shared" si="20"/>
        <v>195.05822606943201</v>
      </c>
      <c r="C145" s="75"/>
      <c r="K145" s="51">
        <f t="shared" si="21"/>
        <v>31.009121123671143</v>
      </c>
      <c r="L145" s="51">
        <f>(AL145/AL$141)*L$141</f>
        <v>30.866657287438937</v>
      </c>
      <c r="AI145" s="65">
        <f>('Px prices'!B144^'Px wts'!B$43)*('Px prices'!C144^'Px wts'!C$43)*('Px prices'!E144^'Px wts'!E$43)*('Px prices'!F144^'Px wts'!F$43)*('Px prices'!H144^'Px wts'!H$43)*('Px prices'!J144^'Px wts'!J$43)*('Px prices'!K144^'Px wts'!K$43)*('Px prices'!I144^'Px wts'!I$43)*('Px prices'!L144^'Px wts'!L$43)*('Px prices'!T144^'Px wts'!T$43)*('Px prices'!N144^'Px wts'!N$43)*('Px prices'!R144^'Px wts'!R$43)*('Px prices'!U144^'Px wts'!U$43)*('Px prices'!V144^'Px wts'!V$43)*('Px prices'!W144^'Px wts'!W$43)*('Px prices'!O144^'Px wts'!O$43)*('Px prices'!Q144^'Px wts'!Q$43)*('Px prices'!P144^'Px wts'!P$43)*('Px prices'!S144^'Px wts'!S$43)*('Px prices'!X144^'Px wts'!X$43)</f>
        <v>33.149873465796382</v>
      </c>
      <c r="AJ145" s="65"/>
      <c r="AK145" s="51"/>
      <c r="AL145" s="51">
        <f>('Px prices'!B144^'Px wts'!B$47)*('Px prices'!C144^'Px wts'!C$47)*('Px prices'!E144^'Px wts'!E$47)*('Px prices'!F144^'Px wts'!F$47)*('Px prices'!H144^'Px wts'!H$47)*('Px prices'!J144^'Px wts'!J$47)*('Px prices'!K144^'Px wts'!K$47)*('Px prices'!I144^'Px wts'!I$47)*('Px prices'!L144^'Px wts'!L$47)*('Px prices'!T144^'Px wts'!T$47)*('Px prices'!N144^'Px wts'!N$47)*('Px prices'!R144^'Px wts'!R$47)*('Px prices'!U144^'Px wts'!U$47)*('Px prices'!V144^'Px wts'!V$47)*('Px prices'!W144^'Px wts'!W$47)*('Px prices'!O144^'Px wts'!O$47)*('Px prices'!Q144^'Px wts'!Q$47)*('Px prices'!P144^'Px wts'!P$47)*('Px prices'!S144^'Px wts'!S$47)*('Px prices'!X144^'Px wts'!X$47)*('Px prices'!Y144^'Px wts'!Y$47)*('Px prices'!Z144^'Px wts'!Z$47)*('Px prices'!AA144^'Px wts'!AA$47)*('Px prices'!AC144^'Px wts'!AC$47)*('Px prices'!AD144^'Px wts'!AD$47)*('Px prices'!AB144^'Px wts'!AB$47)*('Px prices'!AE144^'Px wts'!AE$47)</f>
        <v>31.770050688527654</v>
      </c>
      <c r="AM145" s="51">
        <f>('Px prices'!B144^'Px wts'!B$48)*('Px prices'!C144^'Px wts'!C$48)*('Px prices'!E144^'Px wts'!E$48)*('Px prices'!F144^'Px wts'!F$48)*('Px prices'!H144^'Px wts'!H$48)*('Px prices'!J144^'Px wts'!J$48)*('Px prices'!K144^'Px wts'!K$48)*('Px prices'!I144^'Px wts'!I$48)*('Px prices'!L144^'Px wts'!L$48)*('Px prices'!T144^'Px wts'!T$48)*('Px prices'!N144^'Px wts'!N$48)*('Px prices'!R144^'Px wts'!R$48)*('Px prices'!U144^'Px wts'!U$48)*('Px prices'!V144^'Px wts'!V$48)*('Px prices'!W144^'Px wts'!W$48)*('Px prices'!O144^'Px wts'!O$48)*('Px prices'!Q144^'Px wts'!Q$48)*('Px prices'!P144^'Px wts'!P$48)*('Px prices'!S144^'Px wts'!S$48)*('Px prices'!X144^'Px wts'!X$48)*('Px prices'!Y144^'Px wts'!Y$48)*('Px prices'!Z144^'Px wts'!Z$48)*('Px prices'!AA144^'Px wts'!AA$48)*('Px prices'!AC144^'Px wts'!AC$48)*('Px prices'!AD144^'Px wts'!AD$48)*('Px prices'!AB144^'Px wts'!AB$48)*('Px prices'!AE144^'Px wts'!AE$48)*('Px prices'!AF144^'Px wts'!AF$48)</f>
        <v>32.103120374003169</v>
      </c>
    </row>
    <row r="146" spans="1:40">
      <c r="A146" s="4">
        <v>1921</v>
      </c>
      <c r="B146" s="56">
        <f t="shared" si="20"/>
        <v>143.74487627119746</v>
      </c>
      <c r="C146" s="75"/>
      <c r="K146" s="51">
        <f t="shared" si="21"/>
        <v>21.686132126639695</v>
      </c>
      <c r="L146" s="51">
        <f t="shared" ref="L146:L163" si="22">(AM146/AM$145)*L$145</f>
        <v>23.96917930312156</v>
      </c>
      <c r="AI146" s="65">
        <f>('Px prices'!B145^'Px wts'!B$43)*('Px prices'!C145^'Px wts'!C$43)*('Px prices'!E145^'Px wts'!E$43)*('Px prices'!F145^'Px wts'!F$43)*('Px prices'!H145^'Px wts'!H$43)*('Px prices'!J145^'Px wts'!J$43)*('Px prices'!K145^'Px wts'!K$43)*('Px prices'!I145^'Px wts'!I$43)*('Px prices'!L145^'Px wts'!L$43)*('Px prices'!T145^'Px wts'!T$43)*('Px prices'!N145^'Px wts'!N$43)*('Px prices'!R145^'Px wts'!R$43)*('Px prices'!U145^'Px wts'!U$43)*('Px prices'!V145^'Px wts'!V$43)*('Px prices'!W145^'Px wts'!W$43)*('Px prices'!O145^'Px wts'!O$43)*('Px prices'!Q145^'Px wts'!Q$43)*('Px prices'!P145^'Px wts'!P$43)*('Px prices'!S145^'Px wts'!S$43)*('Px prices'!X145^'Px wts'!X$43)</f>
        <v>23.183260599149111</v>
      </c>
      <c r="AJ146" s="65"/>
      <c r="AK146" s="51"/>
      <c r="AL146" s="51"/>
      <c r="AM146" s="51">
        <f>('Px prices'!B145^'Px wts'!B$48)*('Px prices'!C145^'Px wts'!C$48)*('Px prices'!E145^'Px wts'!E$48)*('Px prices'!F145^'Px wts'!F$48)*('Px prices'!H145^'Px wts'!H$48)*('Px prices'!J145^'Px wts'!J$48)*('Px prices'!K145^'Px wts'!K$48)*('Px prices'!I145^'Px wts'!I$48)*('Px prices'!L145^'Px wts'!L$48)*('Px prices'!T145^'Px wts'!T$48)*('Px prices'!N145^'Px wts'!N$48)*('Px prices'!R145^'Px wts'!R$48)*('Px prices'!U145^'Px wts'!U$48)*('Px prices'!V145^'Px wts'!V$48)*('Px prices'!W145^'Px wts'!W$48)*('Px prices'!O145^'Px wts'!O$48)*('Px prices'!Q145^'Px wts'!Q$48)*('Px prices'!P145^'Px wts'!P$48)*('Px prices'!S145^'Px wts'!S$48)*('Px prices'!X145^'Px wts'!X$48)*('Px prices'!Y145^'Px wts'!Y$48)*('Px prices'!Z145^'Px wts'!Z$48)*('Px prices'!AA145^'Px wts'!AA$48)*('Px prices'!AC145^'Px wts'!AC$48)*('Px prices'!AD145^'Px wts'!AD$48)*('Px prices'!AB145^'Px wts'!AB$48)*('Px prices'!AE145^'Px wts'!AE$48)*('Px prices'!AF145^'Px wts'!AF$48)</f>
        <v>24.929341757629061</v>
      </c>
    </row>
    <row r="147" spans="1:40">
      <c r="A147" s="4">
        <v>1922</v>
      </c>
      <c r="B147" s="56">
        <f t="shared" si="20"/>
        <v>109.17203069986587</v>
      </c>
      <c r="C147" s="75"/>
      <c r="K147" s="51">
        <f t="shared" si="21"/>
        <v>16.818662371280251</v>
      </c>
      <c r="L147" s="51">
        <f t="shared" si="22"/>
        <v>17.827146844785592</v>
      </c>
      <c r="AI147" s="65">
        <f>('Px prices'!B146^'Px wts'!B$43)*('Px prices'!C146^'Px wts'!C$43)*('Px prices'!E146^'Px wts'!E$43)*('Px prices'!F146^'Px wts'!F$43)*('Px prices'!H146^'Px wts'!H$43)*('Px prices'!J146^'Px wts'!J$43)*('Px prices'!K146^'Px wts'!K$43)*('Px prices'!I146^'Px wts'!I$43)*('Px prices'!L146^'Px wts'!L$43)*('Px prices'!T146^'Px wts'!T$43)*('Px prices'!N146^'Px wts'!N$43)*('Px prices'!R146^'Px wts'!R$43)*('Px prices'!U146^'Px wts'!U$43)*('Px prices'!V146^'Px wts'!V$43)*('Px prices'!W146^'Px wts'!W$43)*('Px prices'!O146^'Px wts'!O$43)*('Px prices'!Q146^'Px wts'!Q$43)*('Px prices'!P146^'Px wts'!P$43)*('Px prices'!S146^'Px wts'!S$43)*('Px prices'!X146^'Px wts'!X$43)</f>
        <v>17.979759156936883</v>
      </c>
      <c r="AJ147" s="65"/>
      <c r="AK147" s="51"/>
      <c r="AL147" s="51"/>
      <c r="AM147" s="51">
        <f>('Px prices'!B146^'Px wts'!B$48)*('Px prices'!C146^'Px wts'!C$48)*('Px prices'!E146^'Px wts'!E$48)*('Px prices'!F146^'Px wts'!F$48)*('Px prices'!H146^'Px wts'!H$48)*('Px prices'!J146^'Px wts'!J$48)*('Px prices'!K146^'Px wts'!K$48)*('Px prices'!I146^'Px wts'!I$48)*('Px prices'!L146^'Px wts'!L$48)*('Px prices'!T146^'Px wts'!T$48)*('Px prices'!N146^'Px wts'!N$48)*('Px prices'!R146^'Px wts'!R$48)*('Px prices'!U146^'Px wts'!U$48)*('Px prices'!V146^'Px wts'!V$48)*('Px prices'!W146^'Px wts'!W$48)*('Px prices'!O146^'Px wts'!O$48)*('Px prices'!Q146^'Px wts'!Q$48)*('Px prices'!P146^'Px wts'!P$48)*('Px prices'!S146^'Px wts'!S$48)*('Px prices'!X146^'Px wts'!X$48)*('Px prices'!Y146^'Px wts'!Y$48)*('Px prices'!Z146^'Px wts'!Z$48)*('Px prices'!AA146^'Px wts'!AA$48)*('Px prices'!AC146^'Px wts'!AC$48)*('Px prices'!AD146^'Px wts'!AD$48)*('Px prices'!AB146^'Px wts'!AB$48)*('Px prices'!AE146^'Px wts'!AE$48)*('Px prices'!AF146^'Px wts'!AF$48)</f>
        <v>18.541270463908663</v>
      </c>
    </row>
    <row r="148" spans="1:40">
      <c r="A148" s="4">
        <v>1923</v>
      </c>
      <c r="B148" s="56">
        <f t="shared" si="20"/>
        <v>117.40910464718539</v>
      </c>
      <c r="C148" s="75"/>
      <c r="K148" s="51">
        <f t="shared" si="21"/>
        <v>18.2807565125912</v>
      </c>
      <c r="L148" s="51">
        <f t="shared" si="22"/>
        <v>18.969675641339002</v>
      </c>
      <c r="AI148" s="65">
        <f>('Px prices'!B147^'Px wts'!B$43)*('Px prices'!C147^'Px wts'!C$43)*('Px prices'!E147^'Px wts'!E$43)*('Px prices'!F147^'Px wts'!F$43)*('Px prices'!H147^'Px wts'!H$43)*('Px prices'!J147^'Px wts'!J$43)*('Px prices'!K147^'Px wts'!K$43)*('Px prices'!I147^'Px wts'!I$43)*('Px prices'!L147^'Px wts'!L$43)*('Px prices'!T147^'Px wts'!T$43)*('Px prices'!N147^'Px wts'!N$43)*('Px prices'!R147^'Px wts'!R$43)*('Px prices'!U147^'Px wts'!U$43)*('Px prices'!V147^'Px wts'!V$43)*('Px prices'!W147^'Px wts'!W$43)*('Px prices'!O147^'Px wts'!O$43)*('Px prices'!Q147^'Px wts'!Q$43)*('Px prices'!P147^'Px wts'!P$43)*('Px prices'!S147^'Px wts'!S$43)*('Px prices'!X147^'Px wts'!X$43)</f>
        <v>19.542790743231713</v>
      </c>
      <c r="AJ148" s="65"/>
      <c r="AK148" s="51"/>
      <c r="AL148" s="51"/>
      <c r="AM148" s="51">
        <f>('Px prices'!B147^'Px wts'!B$48)*('Px prices'!C147^'Px wts'!C$48)*('Px prices'!E147^'Px wts'!E$48)*('Px prices'!F147^'Px wts'!F$48)*('Px prices'!H147^'Px wts'!H$48)*('Px prices'!J147^'Px wts'!J$48)*('Px prices'!K147^'Px wts'!K$48)*('Px prices'!I147^'Px wts'!I$48)*('Px prices'!L147^'Px wts'!L$48)*('Px prices'!T147^'Px wts'!T$48)*('Px prices'!N147^'Px wts'!N$48)*('Px prices'!R147^'Px wts'!R$48)*('Px prices'!U147^'Px wts'!U$48)*('Px prices'!V147^'Px wts'!V$48)*('Px prices'!W147^'Px wts'!W$48)*('Px prices'!O147^'Px wts'!O$48)*('Px prices'!Q147^'Px wts'!Q$48)*('Px prices'!P147^'Px wts'!P$48)*('Px prices'!S147^'Px wts'!S$48)*('Px prices'!X147^'Px wts'!X$48)*('Px prices'!Y147^'Px wts'!Y$48)*('Px prices'!Z147^'Px wts'!Z$48)*('Px prices'!AA147^'Px wts'!AA$48)*('Px prices'!AC147^'Px wts'!AC$48)*('Px prices'!AD147^'Px wts'!AD$48)*('Px prices'!AB147^'Px wts'!AB$48)*('Px prices'!AE147^'Px wts'!AE$48)*('Px prices'!AF147^'Px wts'!AF$48)</f>
        <v>19.72956692066316</v>
      </c>
    </row>
    <row r="149" spans="1:40">
      <c r="A149" s="4">
        <v>1924</v>
      </c>
      <c r="B149" s="56">
        <f t="shared" si="20"/>
        <v>125.35429908493118</v>
      </c>
      <c r="C149" s="75"/>
      <c r="K149" s="51">
        <f t="shared" si="21"/>
        <v>19.817688090001308</v>
      </c>
      <c r="L149" s="51">
        <f t="shared" si="22"/>
        <v>19.946926797325673</v>
      </c>
      <c r="AI149" s="65">
        <f>('Px prices'!B148^'Px wts'!B$43)*('Px prices'!C148^'Px wts'!C$43)*('Px prices'!E148^'Px wts'!E$43)*('Px prices'!F148^'Px wts'!F$43)*('Px prices'!H148^'Px wts'!H$43)*('Px prices'!J148^'Px wts'!J$43)*('Px prices'!K148^'Px wts'!K$43)*('Px prices'!I148^'Px wts'!I$43)*('Px prices'!L148^'Px wts'!L$43)*('Px prices'!T148^'Px wts'!T$43)*('Px prices'!N148^'Px wts'!N$43)*('Px prices'!R148^'Px wts'!R$43)*('Px prices'!U148^'Px wts'!U$43)*('Px prices'!V148^'Px wts'!V$43)*('Px prices'!W148^'Px wts'!W$43)*('Px prices'!O148^'Px wts'!O$43)*('Px prices'!Q148^'Px wts'!Q$43)*('Px prices'!P148^'Px wts'!P$43)*('Px prices'!S148^'Px wts'!S$43)*('Px prices'!X148^'Px wts'!X$43)</f>
        <v>21.185826258928397</v>
      </c>
      <c r="AJ149" s="65"/>
      <c r="AK149" s="51"/>
      <c r="AL149" s="51"/>
      <c r="AM149" s="51">
        <f>('Px prices'!B148^'Px wts'!B$48)*('Px prices'!C148^'Px wts'!C$48)*('Px prices'!E148^'Px wts'!E$48)*('Px prices'!F148^'Px wts'!F$48)*('Px prices'!H148^'Px wts'!H$48)*('Px prices'!J148^'Px wts'!J$48)*('Px prices'!K148^'Px wts'!K$48)*('Px prices'!I148^'Px wts'!I$48)*('Px prices'!L148^'Px wts'!L$48)*('Px prices'!T148^'Px wts'!T$48)*('Px prices'!N148^'Px wts'!N$48)*('Px prices'!R148^'Px wts'!R$48)*('Px prices'!U148^'Px wts'!U$48)*('Px prices'!V148^'Px wts'!V$48)*('Px prices'!W148^'Px wts'!W$48)*('Px prices'!O148^'Px wts'!O$48)*('Px prices'!Q148^'Px wts'!Q$48)*('Px prices'!P148^'Px wts'!P$48)*('Px prices'!S148^'Px wts'!S$48)*('Px prices'!X148^'Px wts'!X$48)*('Px prices'!Y148^'Px wts'!Y$48)*('Px prices'!Z148^'Px wts'!Z$48)*('Px prices'!AA148^'Px wts'!AA$48)*('Px prices'!AC148^'Px wts'!AC$48)*('Px prices'!AD148^'Px wts'!AD$48)*('Px prices'!AB148^'Px wts'!AB$48)*('Px prices'!AE148^'Px wts'!AE$48)*('Px prices'!AF148^'Px wts'!AF$48)</f>
        <v>20.74596501016542</v>
      </c>
    </row>
    <row r="150" spans="1:40">
      <c r="A150" s="4">
        <v>1925</v>
      </c>
      <c r="B150" s="56">
        <f t="shared" si="20"/>
        <v>147.51604743358286</v>
      </c>
      <c r="C150" s="75"/>
      <c r="K150" s="51">
        <f t="shared" si="21"/>
        <v>23.227661615414419</v>
      </c>
      <c r="L150" s="51">
        <f t="shared" si="22"/>
        <v>23.56804512247875</v>
      </c>
      <c r="M150" s="51">
        <f t="shared" ref="M150:M163" si="23">AN150</f>
        <v>26.206111240698505</v>
      </c>
      <c r="N150" s="51"/>
      <c r="AI150" s="65">
        <f>('Px prices'!B149^'Px wts'!B$43)*('Px prices'!C149^'Px wts'!C$43)*('Px prices'!E149^'Px wts'!E$43)*('Px prices'!F149^'Px wts'!F$43)*('Px prices'!H149^'Px wts'!H$43)*('Px prices'!J149^'Px wts'!J$43)*('Px prices'!K149^'Px wts'!K$43)*('Px prices'!I149^'Px wts'!I$43)*('Px prices'!L149^'Px wts'!L$43)*('Px prices'!T149^'Px wts'!T$43)*('Px prices'!N149^'Px wts'!N$43)*('Px prices'!R149^'Px wts'!R$43)*('Px prices'!U149^'Px wts'!U$43)*('Px prices'!V149^'Px wts'!V$43)*('Px prices'!W149^'Px wts'!W$43)*('Px prices'!O149^'Px wts'!O$43)*('Px prices'!Q149^'Px wts'!Q$43)*('Px prices'!P149^'Px wts'!P$43)*('Px prices'!S149^'Px wts'!S$43)*('Px prices'!X149^'Px wts'!X$43)</f>
        <v>24.831211448606339</v>
      </c>
      <c r="AJ150" s="65"/>
      <c r="AK150" s="51"/>
      <c r="AL150" s="51"/>
      <c r="AM150" s="51">
        <f>('Px prices'!B149^'Px wts'!B$48)*('Px prices'!C149^'Px wts'!C$48)*('Px prices'!E149^'Px wts'!E$48)*('Px prices'!F149^'Px wts'!F$48)*('Px prices'!H149^'Px wts'!H$48)*('Px prices'!J149^'Px wts'!J$48)*('Px prices'!K149^'Px wts'!K$48)*('Px prices'!I149^'Px wts'!I$48)*('Px prices'!L149^'Px wts'!L$48)*('Px prices'!T149^'Px wts'!T$48)*('Px prices'!N149^'Px wts'!N$48)*('Px prices'!R149^'Px wts'!R$48)*('Px prices'!U149^'Px wts'!U$48)*('Px prices'!V149^'Px wts'!V$48)*('Px prices'!W149^'Px wts'!W$48)*('Px prices'!O149^'Px wts'!O$48)*('Px prices'!Q149^'Px wts'!Q$48)*('Px prices'!P149^'Px wts'!P$48)*('Px prices'!S149^'Px wts'!S$48)*('Px prices'!X149^'Px wts'!X$48)*('Px prices'!Y149^'Px wts'!Y$48)*('Px prices'!Z149^'Px wts'!Z$48)*('Px prices'!AA149^'Px wts'!AA$48)*('Px prices'!AC149^'Px wts'!AC$48)*('Px prices'!AD149^'Px wts'!AD$48)*('Px prices'!AB149^'Px wts'!AB$48)*('Px prices'!AE149^'Px wts'!AE$48)*('Px prices'!AF149^'Px wts'!AF$48)</f>
        <v>24.512138859129788</v>
      </c>
      <c r="AN150" s="51">
        <f>('Px prices'!B149^'Px wts'!B$49)*('Px prices'!C149^'Px wts'!C$49)*('Px prices'!E149^'Px wts'!E$49)*('Px prices'!F149^'Px wts'!F$49)*('Px prices'!H149^'Px wts'!H$49)*('Px prices'!J149^'Px wts'!J$49)*('Px prices'!K149^'Px wts'!K$49)*('Px prices'!I149^'Px wts'!I$49)*('Px prices'!L149^'Px wts'!L$49)*('Px prices'!T149^'Px wts'!T$49)*('Px prices'!N149^'Px wts'!N$49)*('Px prices'!R149^'Px wts'!R$49)*('Px prices'!U149^'Px wts'!U$49)*('Px prices'!V149^'Px wts'!V$49)*('Px prices'!W149^'Px wts'!W$49)*('Px prices'!O149^'Px wts'!O$49)*('Px prices'!Q149^'Px wts'!Q$49)*('Px prices'!P149^'Px wts'!P$49)*('Px prices'!S149^'Px wts'!S$49)*('Px prices'!X149^'Px wts'!X$49)*('Px prices'!Y149^'Px wts'!Y$49)*('Px prices'!Z149^'Px wts'!Z$49)*('Px prices'!AA149^'Px wts'!AA$49)*('Px prices'!AC149^'Px wts'!AC$49)*('Px prices'!AD149^'Px wts'!AD$49)*('Px prices'!AB149^'Px wts'!AB$49)*('Px prices'!AE149^'Px wts'!AE$49)*('Px prices'!AF149^'Px wts'!AF$49)</f>
        <v>26.206111240698505</v>
      </c>
    </row>
    <row r="151" spans="1:40">
      <c r="A151" s="4">
        <v>1926</v>
      </c>
      <c r="B151" s="56">
        <f t="shared" ref="B151:B163" si="24">(GEOMEAN(L151:M151)/GEOMEAN(L$150:M$150))*B$150</f>
        <v>119.58207586219753</v>
      </c>
      <c r="C151" s="75"/>
      <c r="L151" s="51">
        <f t="shared" si="22"/>
        <v>19.3255014247612</v>
      </c>
      <c r="M151" s="51">
        <f t="shared" si="23"/>
        <v>21.001437001180143</v>
      </c>
      <c r="N151" s="51"/>
      <c r="AK151" s="51"/>
      <c r="AM151" s="51">
        <f>('Px prices'!B150^'Px wts'!B$48)*('Px prices'!C150^'Px wts'!C$48)*('Px prices'!E150^'Px wts'!E$48)*('Px prices'!F150^'Px wts'!F$48)*('Px prices'!H150^'Px wts'!H$48)*('Px prices'!J150^'Px wts'!J$48)*('Px prices'!K150^'Px wts'!K$48)*('Px prices'!I150^'Px wts'!I$48)*('Px prices'!L150^'Px wts'!L$48)*('Px prices'!T150^'Px wts'!T$48)*('Px prices'!N150^'Px wts'!N$48)*('Px prices'!R150^'Px wts'!R$48)*('Px prices'!U150^'Px wts'!U$48)*('Px prices'!V150^'Px wts'!V$48)*('Px prices'!W150^'Px wts'!W$48)*('Px prices'!O150^'Px wts'!O$48)*('Px prices'!Q150^'Px wts'!Q$48)*('Px prices'!P150^'Px wts'!P$48)*('Px prices'!S150^'Px wts'!S$48)*('Px prices'!X150^'Px wts'!X$48)*('Px prices'!Y150^'Px wts'!Y$48)*('Px prices'!Z150^'Px wts'!Z$48)*('Px prices'!AA150^'Px wts'!AA$48)*('Px prices'!AC150^'Px wts'!AC$48)*('Px prices'!AD150^'Px wts'!AD$48)*('Px prices'!AB150^'Px wts'!AB$48)*('Px prices'!AE150^'Px wts'!AE$48)*('Px prices'!AF150^'Px wts'!AF$48)</f>
        <v>20.099646448582284</v>
      </c>
      <c r="AN151" s="51">
        <f>('Px prices'!B150^'Px wts'!B$49)*('Px prices'!C150^'Px wts'!C$49)*('Px prices'!E150^'Px wts'!E$49)*('Px prices'!F150^'Px wts'!F$49)*('Px prices'!H150^'Px wts'!H$49)*('Px prices'!J150^'Px wts'!J$49)*('Px prices'!K150^'Px wts'!K$49)*('Px prices'!I150^'Px wts'!I$49)*('Px prices'!L150^'Px wts'!L$49)*('Px prices'!T150^'Px wts'!T$49)*('Px prices'!N150^'Px wts'!N$49)*('Px prices'!R150^'Px wts'!R$49)*('Px prices'!U150^'Px wts'!U$49)*('Px prices'!V150^'Px wts'!V$49)*('Px prices'!W150^'Px wts'!W$49)*('Px prices'!O150^'Px wts'!O$49)*('Px prices'!Q150^'Px wts'!Q$49)*('Px prices'!P150^'Px wts'!P$49)*('Px prices'!S150^'Px wts'!S$49)*('Px prices'!X150^'Px wts'!X$49)*('Px prices'!Y150^'Px wts'!Y$49)*('Px prices'!Z150^'Px wts'!Z$49)*('Px prices'!AA150^'Px wts'!AA$49)*('Px prices'!AC150^'Px wts'!AC$49)*('Px prices'!AD150^'Px wts'!AD$49)*('Px prices'!AB150^'Px wts'!AB$49)*('Px prices'!AE150^'Px wts'!AE$49)*('Px prices'!AF150^'Px wts'!AF$49)</f>
        <v>21.001437001180143</v>
      </c>
    </row>
    <row r="152" spans="1:40">
      <c r="A152" s="4">
        <v>1927</v>
      </c>
      <c r="B152" s="56">
        <f t="shared" si="24"/>
        <v>118.00481027197026</v>
      </c>
      <c r="C152" s="75"/>
      <c r="L152" s="51">
        <f t="shared" si="22"/>
        <v>18.94733513747741</v>
      </c>
      <c r="M152" s="51">
        <f t="shared" si="23"/>
        <v>20.859259719915986</v>
      </c>
      <c r="N152" s="51"/>
      <c r="AK152" s="51"/>
      <c r="AM152" s="51">
        <f>('Px prices'!B151^'Px wts'!B$48)*('Px prices'!C151^'Px wts'!C$48)*('Px prices'!E151^'Px wts'!E$48)*('Px prices'!F151^'Px wts'!F$48)*('Px prices'!H151^'Px wts'!H$48)*('Px prices'!J151^'Px wts'!J$48)*('Px prices'!K151^'Px wts'!K$48)*('Px prices'!I151^'Px wts'!I$48)*('Px prices'!L151^'Px wts'!L$48)*('Px prices'!T151^'Px wts'!T$48)*('Px prices'!N151^'Px wts'!N$48)*('Px prices'!R151^'Px wts'!R$48)*('Px prices'!U151^'Px wts'!U$48)*('Px prices'!V151^'Px wts'!V$48)*('Px prices'!W151^'Px wts'!W$48)*('Px prices'!O151^'Px wts'!O$48)*('Px prices'!Q151^'Px wts'!Q$48)*('Px prices'!P151^'Px wts'!P$48)*('Px prices'!S151^'Px wts'!S$48)*('Px prices'!X151^'Px wts'!X$48)*('Px prices'!Y151^'Px wts'!Y$48)*('Px prices'!Z151^'Px wts'!Z$48)*('Px prices'!AA151^'Px wts'!AA$48)*('Px prices'!AC151^'Px wts'!AC$48)*('Px prices'!AD151^'Px wts'!AD$48)*('Px prices'!AB151^'Px wts'!AB$48)*('Px prices'!AE151^'Px wts'!AE$48)*('Px prices'!AF151^'Px wts'!AF$48)</f>
        <v>19.706331496172396</v>
      </c>
      <c r="AN152" s="51">
        <f>('Px prices'!B151^'Px wts'!B$49)*('Px prices'!C151^'Px wts'!C$49)*('Px prices'!E151^'Px wts'!E$49)*('Px prices'!F151^'Px wts'!F$49)*('Px prices'!H151^'Px wts'!H$49)*('Px prices'!J151^'Px wts'!J$49)*('Px prices'!K151^'Px wts'!K$49)*('Px prices'!I151^'Px wts'!I$49)*('Px prices'!L151^'Px wts'!L$49)*('Px prices'!T151^'Px wts'!T$49)*('Px prices'!N151^'Px wts'!N$49)*('Px prices'!R151^'Px wts'!R$49)*('Px prices'!U151^'Px wts'!U$49)*('Px prices'!V151^'Px wts'!V$49)*('Px prices'!W151^'Px wts'!W$49)*('Px prices'!O151^'Px wts'!O$49)*('Px prices'!Q151^'Px wts'!Q$49)*('Px prices'!P151^'Px wts'!P$49)*('Px prices'!S151^'Px wts'!S$49)*('Px prices'!X151^'Px wts'!X$49)*('Px prices'!Y151^'Px wts'!Y$49)*('Px prices'!Z151^'Px wts'!Z$49)*('Px prices'!AA151^'Px wts'!AA$49)*('Px prices'!AC151^'Px wts'!AC$49)*('Px prices'!AD151^'Px wts'!AD$49)*('Px prices'!AB151^'Px wts'!AB$49)*('Px prices'!AE151^'Px wts'!AE$49)*('Px prices'!AF151^'Px wts'!AF$49)</f>
        <v>20.859259719915986</v>
      </c>
    </row>
    <row r="153" spans="1:40">
      <c r="A153" s="4">
        <v>1928</v>
      </c>
      <c r="B153" s="56">
        <f t="shared" si="24"/>
        <v>138.26862151131544</v>
      </c>
      <c r="C153" s="75"/>
      <c r="L153" s="51">
        <f t="shared" si="22"/>
        <v>21.989328353046833</v>
      </c>
      <c r="M153" s="51">
        <f t="shared" si="23"/>
        <v>24.676462894721283</v>
      </c>
      <c r="N153" s="51"/>
      <c r="AK153" s="51"/>
      <c r="AM153" s="51">
        <f>('Px prices'!B152^'Px wts'!B$48)*('Px prices'!C152^'Px wts'!C$48)*('Px prices'!E152^'Px wts'!E$48)*('Px prices'!F152^'Px wts'!F$48)*('Px prices'!H152^'Px wts'!H$48)*('Px prices'!J152^'Px wts'!J$48)*('Px prices'!K152^'Px wts'!K$48)*('Px prices'!I152^'Px wts'!I$48)*('Px prices'!L152^'Px wts'!L$48)*('Px prices'!T152^'Px wts'!T$48)*('Px prices'!N152^'Px wts'!N$48)*('Px prices'!R152^'Px wts'!R$48)*('Px prices'!U152^'Px wts'!U$48)*('Px prices'!V152^'Px wts'!V$48)*('Px prices'!W152^'Px wts'!W$48)*('Px prices'!O152^'Px wts'!O$48)*('Px prices'!Q152^'Px wts'!Q$48)*('Px prices'!P152^'Px wts'!P$48)*('Px prices'!S152^'Px wts'!S$48)*('Px prices'!X152^'Px wts'!X$48)*('Px prices'!Y152^'Px wts'!Y$48)*('Px prices'!Z152^'Px wts'!Z$48)*('Px prices'!AA152^'Px wts'!AA$48)*('Px prices'!AC152^'Px wts'!AC$48)*('Px prices'!AD152^'Px wts'!AD$48)*('Px prices'!AB152^'Px wts'!AB$48)*('Px prices'!AE152^'Px wts'!AE$48)*('Px prices'!AF152^'Px wts'!AF$48)</f>
        <v>22.870181519416327</v>
      </c>
      <c r="AN153" s="51">
        <f>('Px prices'!B152^'Px wts'!B$49)*('Px prices'!C152^'Px wts'!C$49)*('Px prices'!E152^'Px wts'!E$49)*('Px prices'!F152^'Px wts'!F$49)*('Px prices'!H152^'Px wts'!H$49)*('Px prices'!J152^'Px wts'!J$49)*('Px prices'!K152^'Px wts'!K$49)*('Px prices'!I152^'Px wts'!I$49)*('Px prices'!L152^'Px wts'!L$49)*('Px prices'!T152^'Px wts'!T$49)*('Px prices'!N152^'Px wts'!N$49)*('Px prices'!R152^'Px wts'!R$49)*('Px prices'!U152^'Px wts'!U$49)*('Px prices'!V152^'Px wts'!V$49)*('Px prices'!W152^'Px wts'!W$49)*('Px prices'!O152^'Px wts'!O$49)*('Px prices'!Q152^'Px wts'!Q$49)*('Px prices'!P152^'Px wts'!P$49)*('Px prices'!S152^'Px wts'!S$49)*('Px prices'!X152^'Px wts'!X$49)*('Px prices'!Y152^'Px wts'!Y$49)*('Px prices'!Z152^'Px wts'!Z$49)*('Px prices'!AA152^'Px wts'!AA$49)*('Px prices'!AC152^'Px wts'!AC$49)*('Px prices'!AD152^'Px wts'!AD$49)*('Px prices'!AB152^'Px wts'!AB$49)*('Px prices'!AE152^'Px wts'!AE$49)*('Px prices'!AF152^'Px wts'!AF$49)</f>
        <v>24.676462894721283</v>
      </c>
    </row>
    <row r="154" spans="1:40">
      <c r="A154" s="4">
        <v>1929</v>
      </c>
      <c r="B154" s="56">
        <f t="shared" si="24"/>
        <v>133.59589055727051</v>
      </c>
      <c r="C154" s="75"/>
      <c r="L154" s="51">
        <f t="shared" si="22"/>
        <v>20.966553129768318</v>
      </c>
      <c r="M154" s="51">
        <f t="shared" si="23"/>
        <v>24.160547204803411</v>
      </c>
      <c r="N154" s="51"/>
      <c r="AK154" s="51"/>
      <c r="AM154" s="51">
        <f>('Px prices'!B153^'Px wts'!B$48)*('Px prices'!C153^'Px wts'!C$48)*('Px prices'!E153^'Px wts'!E$48)*('Px prices'!F153^'Px wts'!F$48)*('Px prices'!H153^'Px wts'!H$48)*('Px prices'!J153^'Px wts'!J$48)*('Px prices'!K153^'Px wts'!K$48)*('Px prices'!I153^'Px wts'!I$48)*('Px prices'!L153^'Px wts'!L$48)*('Px prices'!T153^'Px wts'!T$48)*('Px prices'!N153^'Px wts'!N$48)*('Px prices'!R153^'Px wts'!R$48)*('Px prices'!U153^'Px wts'!U$48)*('Px prices'!V153^'Px wts'!V$48)*('Px prices'!W153^'Px wts'!W$48)*('Px prices'!O153^'Px wts'!O$48)*('Px prices'!Q153^'Px wts'!Q$48)*('Px prices'!P153^'Px wts'!P$48)*('Px prices'!S153^'Px wts'!S$48)*('Px prices'!X153^'Px wts'!X$48)*('Px prices'!Y153^'Px wts'!Y$48)*('Px prices'!Z153^'Px wts'!Z$48)*('Px prices'!AA153^'Px wts'!AA$48)*('Px prices'!AC153^'Px wts'!AC$48)*('Px prices'!AD153^'Px wts'!AD$48)*('Px prices'!AB153^'Px wts'!AB$48)*('Px prices'!AE153^'Px wts'!AE$48)*('Px prices'!AF153^'Px wts'!AF$48)</f>
        <v>21.806435749905358</v>
      </c>
      <c r="AN154" s="51">
        <f>('Px prices'!B153^'Px wts'!B$49)*('Px prices'!C153^'Px wts'!C$49)*('Px prices'!E153^'Px wts'!E$49)*('Px prices'!F153^'Px wts'!F$49)*('Px prices'!H153^'Px wts'!H$49)*('Px prices'!J153^'Px wts'!J$49)*('Px prices'!K153^'Px wts'!K$49)*('Px prices'!I153^'Px wts'!I$49)*('Px prices'!L153^'Px wts'!L$49)*('Px prices'!T153^'Px wts'!T$49)*('Px prices'!N153^'Px wts'!N$49)*('Px prices'!R153^'Px wts'!R$49)*('Px prices'!U153^'Px wts'!U$49)*('Px prices'!V153^'Px wts'!V$49)*('Px prices'!W153^'Px wts'!W$49)*('Px prices'!O153^'Px wts'!O$49)*('Px prices'!Q153^'Px wts'!Q$49)*('Px prices'!P153^'Px wts'!P$49)*('Px prices'!S153^'Px wts'!S$49)*('Px prices'!X153^'Px wts'!X$49)*('Px prices'!Y153^'Px wts'!Y$49)*('Px prices'!Z153^'Px wts'!Z$49)*('Px prices'!AA153^'Px wts'!AA$49)*('Px prices'!AC153^'Px wts'!AC$49)*('Px prices'!AD153^'Px wts'!AD$49)*('Px prices'!AB153^'Px wts'!AB$49)*('Px prices'!AE153^'Px wts'!AE$49)*('Px prices'!AF153^'Px wts'!AF$49)</f>
        <v>24.160547204803411</v>
      </c>
    </row>
    <row r="155" spans="1:40">
      <c r="A155" s="4">
        <v>1930</v>
      </c>
      <c r="B155" s="56">
        <f t="shared" si="24"/>
        <v>98.868083697131539</v>
      </c>
      <c r="C155" s="75"/>
      <c r="L155" s="51">
        <f t="shared" si="22"/>
        <v>15.646043842341383</v>
      </c>
      <c r="M155" s="51">
        <f t="shared" si="23"/>
        <v>17.731900955262542</v>
      </c>
      <c r="N155" s="51"/>
      <c r="AK155" s="51"/>
      <c r="AM155" s="51">
        <f>('Px prices'!B154^'Px wts'!B$48)*('Px prices'!C154^'Px wts'!C$48)*('Px prices'!E154^'Px wts'!E$48)*('Px prices'!F154^'Px wts'!F$48)*('Px prices'!H154^'Px wts'!H$48)*('Px prices'!J154^'Px wts'!J$48)*('Px prices'!K154^'Px wts'!K$48)*('Px prices'!I154^'Px wts'!I$48)*('Px prices'!L154^'Px wts'!L$48)*('Px prices'!T154^'Px wts'!T$48)*('Px prices'!N154^'Px wts'!N$48)*('Px prices'!R154^'Px wts'!R$48)*('Px prices'!U154^'Px wts'!U$48)*('Px prices'!V154^'Px wts'!V$48)*('Px prices'!W154^'Px wts'!W$48)*('Px prices'!O154^'Px wts'!O$48)*('Px prices'!Q154^'Px wts'!Q$48)*('Px prices'!P154^'Px wts'!P$48)*('Px prices'!S154^'Px wts'!S$48)*('Px prices'!X154^'Px wts'!X$48)*('Px prices'!Y154^'Px wts'!Y$48)*('Px prices'!Z154^'Px wts'!Z$48)*('Px prices'!AA154^'Px wts'!AA$48)*('Px prices'!AC154^'Px wts'!AC$48)*('Px prices'!AD154^'Px wts'!AD$48)*('Px prices'!AB154^'Px wts'!AB$48)*('Px prices'!AE154^'Px wts'!AE$48)*('Px prices'!AF154^'Px wts'!AF$48)</f>
        <v>16.272796376043612</v>
      </c>
      <c r="AN155" s="51">
        <f>('Px prices'!B154^'Px wts'!B$49)*('Px prices'!C154^'Px wts'!C$49)*('Px prices'!E154^'Px wts'!E$49)*('Px prices'!F154^'Px wts'!F$49)*('Px prices'!H154^'Px wts'!H$49)*('Px prices'!J154^'Px wts'!J$49)*('Px prices'!K154^'Px wts'!K$49)*('Px prices'!I154^'Px wts'!I$49)*('Px prices'!L154^'Px wts'!L$49)*('Px prices'!T154^'Px wts'!T$49)*('Px prices'!N154^'Px wts'!N$49)*('Px prices'!R154^'Px wts'!R$49)*('Px prices'!U154^'Px wts'!U$49)*('Px prices'!V154^'Px wts'!V$49)*('Px prices'!W154^'Px wts'!W$49)*('Px prices'!O154^'Px wts'!O$49)*('Px prices'!Q154^'Px wts'!Q$49)*('Px prices'!P154^'Px wts'!P$49)*('Px prices'!S154^'Px wts'!S$49)*('Px prices'!X154^'Px wts'!X$49)*('Px prices'!Y154^'Px wts'!Y$49)*('Px prices'!Z154^'Px wts'!Z$49)*('Px prices'!AA154^'Px wts'!AA$49)*('Px prices'!AC154^'Px wts'!AC$49)*('Px prices'!AD154^'Px wts'!AD$49)*('Px prices'!AB154^'Px wts'!AB$49)*('Px prices'!AE154^'Px wts'!AE$49)*('Px prices'!AF154^'Px wts'!AF$49)</f>
        <v>17.731900955262542</v>
      </c>
    </row>
    <row r="156" spans="1:40">
      <c r="A156" s="4">
        <v>1931</v>
      </c>
      <c r="B156" s="56">
        <f t="shared" si="24"/>
        <v>70.157173762719054</v>
      </c>
      <c r="C156" s="75"/>
      <c r="L156" s="51">
        <f t="shared" si="22"/>
        <v>10.903602595806055</v>
      </c>
      <c r="M156" s="51">
        <f t="shared" si="23"/>
        <v>12.812142579604242</v>
      </c>
      <c r="N156" s="51"/>
      <c r="AK156" s="51"/>
      <c r="AM156" s="51">
        <f>('Px prices'!B155^'Px wts'!B$48)*('Px prices'!C155^'Px wts'!C$48)*('Px prices'!E155^'Px wts'!E$48)*('Px prices'!F155^'Px wts'!F$48)*('Px prices'!H155^'Px wts'!H$48)*('Px prices'!J155^'Px wts'!J$48)*('Px prices'!K155^'Px wts'!K$48)*('Px prices'!I155^'Px wts'!I$48)*('Px prices'!L155^'Px wts'!L$48)*('Px prices'!T155^'Px wts'!T$48)*('Px prices'!N155^'Px wts'!N$48)*('Px prices'!R155^'Px wts'!R$48)*('Px prices'!U155^'Px wts'!U$48)*('Px prices'!V155^'Px wts'!V$48)*('Px prices'!W155^'Px wts'!W$48)*('Px prices'!O155^'Px wts'!O$48)*('Px prices'!Q155^'Px wts'!Q$48)*('Px prices'!P155^'Px wts'!P$48)*('Px prices'!S155^'Px wts'!S$48)*('Px prices'!X155^'Px wts'!X$48)*('Px prices'!Y155^'Px wts'!Y$48)*('Px prices'!Z155^'Px wts'!Z$48)*('Px prices'!AA155^'Px wts'!AA$48)*('Px prices'!AC155^'Px wts'!AC$48)*('Px prices'!AD155^'Px wts'!AD$48)*('Px prices'!AB155^'Px wts'!AB$48)*('Px prices'!AE155^'Px wts'!AE$48)*('Px prices'!AF155^'Px wts'!AF$48)</f>
        <v>11.340381414928997</v>
      </c>
      <c r="AN156" s="51">
        <f>('Px prices'!B155^'Px wts'!B$49)*('Px prices'!C155^'Px wts'!C$49)*('Px prices'!E155^'Px wts'!E$49)*('Px prices'!F155^'Px wts'!F$49)*('Px prices'!H155^'Px wts'!H$49)*('Px prices'!J155^'Px wts'!J$49)*('Px prices'!K155^'Px wts'!K$49)*('Px prices'!I155^'Px wts'!I$49)*('Px prices'!L155^'Px wts'!L$49)*('Px prices'!T155^'Px wts'!T$49)*('Px prices'!N155^'Px wts'!N$49)*('Px prices'!R155^'Px wts'!R$49)*('Px prices'!U155^'Px wts'!U$49)*('Px prices'!V155^'Px wts'!V$49)*('Px prices'!W155^'Px wts'!W$49)*('Px prices'!O155^'Px wts'!O$49)*('Px prices'!Q155^'Px wts'!Q$49)*('Px prices'!P155^'Px wts'!P$49)*('Px prices'!S155^'Px wts'!S$49)*('Px prices'!X155^'Px wts'!X$49)*('Px prices'!Y155^'Px wts'!Y$49)*('Px prices'!Z155^'Px wts'!Z$49)*('Px prices'!AA155^'Px wts'!AA$49)*('Px prices'!AC155^'Px wts'!AC$49)*('Px prices'!AD155^'Px wts'!AD$49)*('Px prices'!AB155^'Px wts'!AB$49)*('Px prices'!AE155^'Px wts'!AE$49)*('Px prices'!AF155^'Px wts'!AF$49)</f>
        <v>12.812142579604242</v>
      </c>
    </row>
    <row r="157" spans="1:40">
      <c r="A157" s="4">
        <v>1932</v>
      </c>
      <c r="B157" s="56">
        <f t="shared" si="24"/>
        <v>63.740621944255309</v>
      </c>
      <c r="C157" s="75"/>
      <c r="L157" s="51">
        <f t="shared" si="22"/>
        <v>10.204762368759395</v>
      </c>
      <c r="M157" s="51">
        <f t="shared" si="23"/>
        <v>11.299970351635244</v>
      </c>
      <c r="N157" s="51"/>
      <c r="AM157" s="51">
        <f>('Px prices'!B156^'Px wts'!B$48)*('Px prices'!C156^'Px wts'!C$48)*('Px prices'!E156^'Px wts'!E$48)*('Px prices'!F156^'Px wts'!F$48)*('Px prices'!H156^'Px wts'!H$48)*('Px prices'!J156^'Px wts'!J$48)*('Px prices'!K156^'Px wts'!K$48)*('Px prices'!I156^'Px wts'!I$48)*('Px prices'!L156^'Px wts'!L$48)*('Px prices'!T156^'Px wts'!T$48)*('Px prices'!N156^'Px wts'!N$48)*('Px prices'!R156^'Px wts'!R$48)*('Px prices'!U156^'Px wts'!U$48)*('Px prices'!V156^'Px wts'!V$48)*('Px prices'!W156^'Px wts'!W$48)*('Px prices'!O156^'Px wts'!O$48)*('Px prices'!Q156^'Px wts'!Q$48)*('Px prices'!P156^'Px wts'!P$48)*('Px prices'!S156^'Px wts'!S$48)*('Px prices'!X156^'Px wts'!X$48)*('Px prices'!Y156^'Px wts'!Y$48)*('Px prices'!Z156^'Px wts'!Z$48)*('Px prices'!AA156^'Px wts'!AA$48)*('Px prices'!AC156^'Px wts'!AC$48)*('Px prices'!AD156^'Px wts'!AD$48)*('Px prices'!AB156^'Px wts'!AB$48)*('Px prices'!AE156^'Px wts'!AE$48)*('Px prices'!AF156^'Px wts'!AF$48)</f>
        <v>10.613546898247968</v>
      </c>
      <c r="AN157" s="51">
        <f>('Px prices'!B156^'Px wts'!B$49)*('Px prices'!C156^'Px wts'!C$49)*('Px prices'!E156^'Px wts'!E$49)*('Px prices'!F156^'Px wts'!F$49)*('Px prices'!H156^'Px wts'!H$49)*('Px prices'!J156^'Px wts'!J$49)*('Px prices'!K156^'Px wts'!K$49)*('Px prices'!I156^'Px wts'!I$49)*('Px prices'!L156^'Px wts'!L$49)*('Px prices'!T156^'Px wts'!T$49)*('Px prices'!N156^'Px wts'!N$49)*('Px prices'!R156^'Px wts'!R$49)*('Px prices'!U156^'Px wts'!U$49)*('Px prices'!V156^'Px wts'!V$49)*('Px prices'!W156^'Px wts'!W$49)*('Px prices'!O156^'Px wts'!O$49)*('Px prices'!Q156^'Px wts'!Q$49)*('Px prices'!P156^'Px wts'!P$49)*('Px prices'!S156^'Px wts'!S$49)*('Px prices'!X156^'Px wts'!X$49)*('Px prices'!Y156^'Px wts'!Y$49)*('Px prices'!Z156^'Px wts'!Z$49)*('Px prices'!AA156^'Px wts'!AA$49)*('Px prices'!AC156^'Px wts'!AC$49)*('Px prices'!AD156^'Px wts'!AD$49)*('Px prices'!AB156^'Px wts'!AB$49)*('Px prices'!AE156^'Px wts'!AE$49)*('Px prices'!AF156^'Px wts'!AF$49)</f>
        <v>11.299970351635244</v>
      </c>
    </row>
    <row r="158" spans="1:40">
      <c r="A158" s="4">
        <v>1933</v>
      </c>
      <c r="B158" s="56">
        <f t="shared" si="24"/>
        <v>62.583273410776108</v>
      </c>
      <c r="C158" s="75"/>
      <c r="L158" s="51">
        <f t="shared" si="22"/>
        <v>9.8839328138035647</v>
      </c>
      <c r="M158" s="51">
        <f t="shared" si="23"/>
        <v>11.246939842179886</v>
      </c>
      <c r="N158" s="51"/>
      <c r="AM158" s="51">
        <f>('Px prices'!B157^'Px wts'!B$48)*('Px prices'!C157^'Px wts'!C$48)*('Px prices'!E157^'Px wts'!E$48)*('Px prices'!F157^'Px wts'!F$48)*('Px prices'!H157^'Px wts'!H$48)*('Px prices'!J157^'Px wts'!J$48)*('Px prices'!K157^'Px wts'!K$48)*('Px prices'!I157^'Px wts'!I$48)*('Px prices'!L157^'Px wts'!L$48)*('Px prices'!T157^'Px wts'!T$48)*('Px prices'!N157^'Px wts'!N$48)*('Px prices'!R157^'Px wts'!R$48)*('Px prices'!U157^'Px wts'!U$48)*('Px prices'!V157^'Px wts'!V$48)*('Px prices'!W157^'Px wts'!W$48)*('Px prices'!O157^'Px wts'!O$48)*('Px prices'!Q157^'Px wts'!Q$48)*('Px prices'!P157^'Px wts'!P$48)*('Px prices'!S157^'Px wts'!S$48)*('Px prices'!X157^'Px wts'!X$48)*('Px prices'!Y157^'Px wts'!Y$48)*('Px prices'!Z157^'Px wts'!Z$48)*('Px prices'!AA157^'Px wts'!AA$48)*('Px prices'!AC157^'Px wts'!AC$48)*('Px prices'!AD157^'Px wts'!AD$48)*('Px prices'!AB157^'Px wts'!AB$48)*('Px prices'!AE157^'Px wts'!AE$48)*('Px prices'!AF157^'Px wts'!AF$48)</f>
        <v>10.279865485117552</v>
      </c>
      <c r="AN158" s="51">
        <f>('Px prices'!B157^'Px wts'!B$49)*('Px prices'!C157^'Px wts'!C$49)*('Px prices'!E157^'Px wts'!E$49)*('Px prices'!F157^'Px wts'!F$49)*('Px prices'!H157^'Px wts'!H$49)*('Px prices'!J157^'Px wts'!J$49)*('Px prices'!K157^'Px wts'!K$49)*('Px prices'!I157^'Px wts'!I$49)*('Px prices'!L157^'Px wts'!L$49)*('Px prices'!T157^'Px wts'!T$49)*('Px prices'!N157^'Px wts'!N$49)*('Px prices'!R157^'Px wts'!R$49)*('Px prices'!U157^'Px wts'!U$49)*('Px prices'!V157^'Px wts'!V$49)*('Px prices'!W157^'Px wts'!W$49)*('Px prices'!O157^'Px wts'!O$49)*('Px prices'!Q157^'Px wts'!Q$49)*('Px prices'!P157^'Px wts'!P$49)*('Px prices'!S157^'Px wts'!S$49)*('Px prices'!X157^'Px wts'!X$49)*('Px prices'!Y157^'Px wts'!Y$49)*('Px prices'!Z157^'Px wts'!Z$49)*('Px prices'!AA157^'Px wts'!AA$49)*('Px prices'!AC157^'Px wts'!AC$49)*('Px prices'!AD157^'Px wts'!AD$49)*('Px prices'!AB157^'Px wts'!AB$49)*('Px prices'!AE157^'Px wts'!AE$49)*('Px prices'!AF157^'Px wts'!AF$49)</f>
        <v>11.246939842179886</v>
      </c>
    </row>
    <row r="159" spans="1:40">
      <c r="A159" s="4">
        <v>1934</v>
      </c>
      <c r="B159" s="56">
        <f t="shared" si="24"/>
        <v>74.947256075781127</v>
      </c>
      <c r="C159" s="75"/>
      <c r="L159" s="51">
        <f t="shared" si="22"/>
        <v>11.579092609058652</v>
      </c>
      <c r="M159" s="51">
        <f t="shared" si="23"/>
        <v>13.768434213418503</v>
      </c>
      <c r="N159" s="51"/>
      <c r="AM159" s="51">
        <f>('Px prices'!B158^'Px wts'!B$48)*('Px prices'!C158^'Px wts'!C$48)*('Px prices'!E158^'Px wts'!E$48)*('Px prices'!F158^'Px wts'!F$48)*('Px prices'!H158^'Px wts'!H$48)*('Px prices'!J158^'Px wts'!J$48)*('Px prices'!K158^'Px wts'!K$48)*('Px prices'!I158^'Px wts'!I$48)*('Px prices'!L158^'Px wts'!L$48)*('Px prices'!T158^'Px wts'!T$48)*('Px prices'!N158^'Px wts'!N$48)*('Px prices'!R158^'Px wts'!R$48)*('Px prices'!U158^'Px wts'!U$48)*('Px prices'!V158^'Px wts'!V$48)*('Px prices'!W158^'Px wts'!W$48)*('Px prices'!O158^'Px wts'!O$48)*('Px prices'!Q158^'Px wts'!Q$48)*('Px prices'!P158^'Px wts'!P$48)*('Px prices'!S158^'Px wts'!S$48)*('Px prices'!X158^'Px wts'!X$48)*('Px prices'!Y158^'Px wts'!Y$48)*('Px prices'!Z158^'Px wts'!Z$48)*('Px prices'!AA158^'Px wts'!AA$48)*('Px prices'!AC158^'Px wts'!AC$48)*('Px prices'!AD158^'Px wts'!AD$48)*('Px prices'!AB158^'Px wts'!AB$48)*('Px prices'!AE158^'Px wts'!AE$48)*('Px prices'!AF158^'Px wts'!AF$48)</f>
        <v>12.042930350012741</v>
      </c>
      <c r="AN159" s="51">
        <f>('Px prices'!B158^'Px wts'!B$49)*('Px prices'!C158^'Px wts'!C$49)*('Px prices'!E158^'Px wts'!E$49)*('Px prices'!F158^'Px wts'!F$49)*('Px prices'!H158^'Px wts'!H$49)*('Px prices'!J158^'Px wts'!J$49)*('Px prices'!K158^'Px wts'!K$49)*('Px prices'!I158^'Px wts'!I$49)*('Px prices'!L158^'Px wts'!L$49)*('Px prices'!T158^'Px wts'!T$49)*('Px prices'!N158^'Px wts'!N$49)*('Px prices'!R158^'Px wts'!R$49)*('Px prices'!U158^'Px wts'!U$49)*('Px prices'!V158^'Px wts'!V$49)*('Px prices'!W158^'Px wts'!W$49)*('Px prices'!O158^'Px wts'!O$49)*('Px prices'!Q158^'Px wts'!Q$49)*('Px prices'!P158^'Px wts'!P$49)*('Px prices'!S158^'Px wts'!S$49)*('Px prices'!X158^'Px wts'!X$49)*('Px prices'!Y158^'Px wts'!Y$49)*('Px prices'!Z158^'Px wts'!Z$49)*('Px prices'!AA158^'Px wts'!AA$49)*('Px prices'!AC158^'Px wts'!AC$49)*('Px prices'!AD158^'Px wts'!AD$49)*('Px prices'!AB158^'Px wts'!AB$49)*('Px prices'!AE158^'Px wts'!AE$49)*('Px prices'!AF158^'Px wts'!AF$49)</f>
        <v>13.768434213418503</v>
      </c>
    </row>
    <row r="160" spans="1:40">
      <c r="A160" s="4">
        <v>1935</v>
      </c>
      <c r="B160" s="56">
        <f t="shared" si="24"/>
        <v>76.223275537627472</v>
      </c>
      <c r="C160" s="75"/>
      <c r="L160" s="51">
        <f t="shared" si="22"/>
        <v>11.841595051274309</v>
      </c>
      <c r="M160" s="51">
        <f t="shared" si="23"/>
        <v>13.925558327208568</v>
      </c>
      <c r="N160" s="51"/>
      <c r="AM160" s="51">
        <f>('Px prices'!B159^'Px wts'!B$48)*('Px prices'!C159^'Px wts'!C$48)*('Px prices'!E159^'Px wts'!E$48)*('Px prices'!F159^'Px wts'!F$48)*('Px prices'!H159^'Px wts'!H$48)*('Px prices'!J159^'Px wts'!J$48)*('Px prices'!K159^'Px wts'!K$48)*('Px prices'!I159^'Px wts'!I$48)*('Px prices'!L159^'Px wts'!L$48)*('Px prices'!T159^'Px wts'!T$48)*('Px prices'!N159^'Px wts'!N$48)*('Px prices'!R159^'Px wts'!R$48)*('Px prices'!U159^'Px wts'!U$48)*('Px prices'!V159^'Px wts'!V$48)*('Px prices'!W159^'Px wts'!W$48)*('Px prices'!O159^'Px wts'!O$48)*('Px prices'!Q159^'Px wts'!Q$48)*('Px prices'!P159^'Px wts'!P$48)*('Px prices'!S159^'Px wts'!S$48)*('Px prices'!X159^'Px wts'!X$48)*('Px prices'!Y159^'Px wts'!Y$48)*('Px prices'!Z159^'Px wts'!Z$48)*('Px prices'!AA159^'Px wts'!AA$48)*('Px prices'!AC159^'Px wts'!AC$48)*('Px prices'!AD159^'Px wts'!AD$48)*('Px prices'!AB159^'Px wts'!AB$48)*('Px prices'!AE159^'Px wts'!AE$48)*('Px prices'!AF159^'Px wts'!AF$48)</f>
        <v>12.315948170583434</v>
      </c>
      <c r="AN160" s="51">
        <f>('Px prices'!B159^'Px wts'!B$49)*('Px prices'!C159^'Px wts'!C$49)*('Px prices'!E159^'Px wts'!E$49)*('Px prices'!F159^'Px wts'!F$49)*('Px prices'!H159^'Px wts'!H$49)*('Px prices'!J159^'Px wts'!J$49)*('Px prices'!K159^'Px wts'!K$49)*('Px prices'!I159^'Px wts'!I$49)*('Px prices'!L159^'Px wts'!L$49)*('Px prices'!T159^'Px wts'!T$49)*('Px prices'!N159^'Px wts'!N$49)*('Px prices'!R159^'Px wts'!R$49)*('Px prices'!U159^'Px wts'!U$49)*('Px prices'!V159^'Px wts'!V$49)*('Px prices'!W159^'Px wts'!W$49)*('Px prices'!O159^'Px wts'!O$49)*('Px prices'!Q159^'Px wts'!Q$49)*('Px prices'!P159^'Px wts'!P$49)*('Px prices'!S159^'Px wts'!S$49)*('Px prices'!X159^'Px wts'!X$49)*('Px prices'!Y159^'Px wts'!Y$49)*('Px prices'!Z159^'Px wts'!Z$49)*('Px prices'!AA159^'Px wts'!AA$49)*('Px prices'!AC159^'Px wts'!AC$49)*('Px prices'!AD159^'Px wts'!AD$49)*('Px prices'!AB159^'Px wts'!AB$49)*('Px prices'!AE159^'Px wts'!AE$49)*('Px prices'!AF159^'Px wts'!AF$49)</f>
        <v>13.925558327208568</v>
      </c>
    </row>
    <row r="161" spans="1:40">
      <c r="A161" s="4">
        <v>1936</v>
      </c>
      <c r="B161" s="56">
        <f t="shared" si="24"/>
        <v>90.311257049698</v>
      </c>
      <c r="C161" s="75"/>
      <c r="L161" s="51">
        <f t="shared" si="22"/>
        <v>14.102740473501582</v>
      </c>
      <c r="M161" s="51">
        <f t="shared" si="23"/>
        <v>16.414507900049404</v>
      </c>
      <c r="N161" s="51"/>
      <c r="AM161" s="51">
        <f>('Px prices'!B160^'Px wts'!B$48)*('Px prices'!C160^'Px wts'!C$48)*('Px prices'!E160^'Px wts'!E$48)*('Px prices'!F160^'Px wts'!F$48)*('Px prices'!H160^'Px wts'!H$48)*('Px prices'!J160^'Px wts'!J$48)*('Px prices'!K160^'Px wts'!K$48)*('Px prices'!I160^'Px wts'!I$48)*('Px prices'!L160^'Px wts'!L$48)*('Px prices'!T160^'Px wts'!T$48)*('Px prices'!N160^'Px wts'!N$48)*('Px prices'!R160^'Px wts'!R$48)*('Px prices'!U160^'Px wts'!U$48)*('Px prices'!V160^'Px wts'!V$48)*('Px prices'!W160^'Px wts'!W$48)*('Px prices'!O160^'Px wts'!O$48)*('Px prices'!Q160^'Px wts'!Q$48)*('Px prices'!P160^'Px wts'!P$48)*('Px prices'!S160^'Px wts'!S$48)*('Px prices'!X160^'Px wts'!X$48)*('Px prices'!Y160^'Px wts'!Y$48)*('Px prices'!Z160^'Px wts'!Z$48)*('Px prices'!AA160^'Px wts'!AA$48)*('Px prices'!AC160^'Px wts'!AC$48)*('Px prices'!AD160^'Px wts'!AD$48)*('Px prices'!AB160^'Px wts'!AB$48)*('Px prices'!AE160^'Px wts'!AE$48)*('Px prices'!AF160^'Px wts'!AF$48)</f>
        <v>14.667671034413864</v>
      </c>
      <c r="AN161" s="51">
        <f>('Px prices'!B160^'Px wts'!B$49)*('Px prices'!C160^'Px wts'!C$49)*('Px prices'!E160^'Px wts'!E$49)*('Px prices'!F160^'Px wts'!F$49)*('Px prices'!H160^'Px wts'!H$49)*('Px prices'!J160^'Px wts'!J$49)*('Px prices'!K160^'Px wts'!K$49)*('Px prices'!I160^'Px wts'!I$49)*('Px prices'!L160^'Px wts'!L$49)*('Px prices'!T160^'Px wts'!T$49)*('Px prices'!N160^'Px wts'!N$49)*('Px prices'!R160^'Px wts'!R$49)*('Px prices'!U160^'Px wts'!U$49)*('Px prices'!V160^'Px wts'!V$49)*('Px prices'!W160^'Px wts'!W$49)*('Px prices'!O160^'Px wts'!O$49)*('Px prices'!Q160^'Px wts'!Q$49)*('Px prices'!P160^'Px wts'!P$49)*('Px prices'!S160^'Px wts'!S$49)*('Px prices'!X160^'Px wts'!X$49)*('Px prices'!Y160^'Px wts'!Y$49)*('Px prices'!Z160^'Px wts'!Z$49)*('Px prices'!AA160^'Px wts'!AA$49)*('Px prices'!AC160^'Px wts'!AC$49)*('Px prices'!AD160^'Px wts'!AD$49)*('Px prices'!AB160^'Px wts'!AB$49)*('Px prices'!AE160^'Px wts'!AE$49)*('Px prices'!AF160^'Px wts'!AF$49)</f>
        <v>16.414507900049404</v>
      </c>
    </row>
    <row r="162" spans="1:40">
      <c r="A162" s="4">
        <v>1937</v>
      </c>
      <c r="B162" s="56">
        <f t="shared" si="24"/>
        <v>109.28672915881111</v>
      </c>
      <c r="C162" s="75"/>
      <c r="L162" s="51">
        <f t="shared" si="22"/>
        <v>17.208120283024456</v>
      </c>
      <c r="M162" s="51">
        <f t="shared" si="23"/>
        <v>19.69921997294081</v>
      </c>
      <c r="N162" s="51"/>
      <c r="AM162" s="51">
        <f>('Px prices'!B161^'Px wts'!B$48)*('Px prices'!C161^'Px wts'!C$48)*('Px prices'!E161^'Px wts'!E$48)*('Px prices'!F161^'Px wts'!F$48)*('Px prices'!H161^'Px wts'!H$48)*('Px prices'!J161^'Px wts'!J$48)*('Px prices'!K161^'Px wts'!K$48)*('Px prices'!I161^'Px wts'!I$48)*('Px prices'!L161^'Px wts'!L$48)*('Px prices'!T161^'Px wts'!T$48)*('Px prices'!N161^'Px wts'!N$48)*('Px prices'!R161^'Px wts'!R$48)*('Px prices'!U161^'Px wts'!U$48)*('Px prices'!V161^'Px wts'!V$48)*('Px prices'!W161^'Px wts'!W$48)*('Px prices'!O161^'Px wts'!O$48)*('Px prices'!Q161^'Px wts'!Q$48)*('Px prices'!P161^'Px wts'!P$48)*('Px prices'!S161^'Px wts'!S$48)*('Px prices'!X161^'Px wts'!X$48)*('Px prices'!Y161^'Px wts'!Y$48)*('Px prices'!Z161^'Px wts'!Z$48)*('Px prices'!AA161^'Px wts'!AA$48)*('Px prices'!AC161^'Px wts'!AC$48)*('Px prices'!AD161^'Px wts'!AD$48)*('Px prices'!AB161^'Px wts'!AB$48)*('Px prices'!AE161^'Px wts'!AE$48)*('Px prices'!AF161^'Px wts'!AF$48)</f>
        <v>17.897446805199426</v>
      </c>
      <c r="AN162" s="51">
        <f>('Px prices'!B161^'Px wts'!B$49)*('Px prices'!C161^'Px wts'!C$49)*('Px prices'!E161^'Px wts'!E$49)*('Px prices'!F161^'Px wts'!F$49)*('Px prices'!H161^'Px wts'!H$49)*('Px prices'!J161^'Px wts'!J$49)*('Px prices'!K161^'Px wts'!K$49)*('Px prices'!I161^'Px wts'!I$49)*('Px prices'!L161^'Px wts'!L$49)*('Px prices'!T161^'Px wts'!T$49)*('Px prices'!N161^'Px wts'!N$49)*('Px prices'!R161^'Px wts'!R$49)*('Px prices'!U161^'Px wts'!U$49)*('Px prices'!V161^'Px wts'!V$49)*('Px prices'!W161^'Px wts'!W$49)*('Px prices'!O161^'Px wts'!O$49)*('Px prices'!Q161^'Px wts'!Q$49)*('Px prices'!P161^'Px wts'!P$49)*('Px prices'!S161^'Px wts'!S$49)*('Px prices'!X161^'Px wts'!X$49)*('Px prices'!Y161^'Px wts'!Y$49)*('Px prices'!Z161^'Px wts'!Z$49)*('Px prices'!AA161^'Px wts'!AA$49)*('Px prices'!AC161^'Px wts'!AC$49)*('Px prices'!AD161^'Px wts'!AD$49)*('Px prices'!AB161^'Px wts'!AB$49)*('Px prices'!AE161^'Px wts'!AE$49)*('Px prices'!AF161^'Px wts'!AF$49)</f>
        <v>19.69921997294081</v>
      </c>
    </row>
    <row r="163" spans="1:40">
      <c r="A163" s="4">
        <v>1938</v>
      </c>
      <c r="B163" s="56">
        <f t="shared" si="24"/>
        <v>95.850124863270977</v>
      </c>
      <c r="C163" s="75"/>
      <c r="L163" s="51">
        <f t="shared" si="22"/>
        <v>14.89685214379697</v>
      </c>
      <c r="M163" s="51">
        <f t="shared" si="23"/>
        <v>17.504046775756184</v>
      </c>
      <c r="N163" s="51"/>
      <c r="AM163" s="51">
        <f>('Px prices'!B162^'Px wts'!B$48)*('Px prices'!C162^'Px wts'!C$48)*('Px prices'!E162^'Px wts'!E$48)*('Px prices'!F162^'Px wts'!F$48)*('Px prices'!H162^'Px wts'!H$48)*('Px prices'!J162^'Px wts'!J$48)*('Px prices'!K162^'Px wts'!K$48)*('Px prices'!I162^'Px wts'!I$48)*('Px prices'!L162^'Px wts'!L$48)*('Px prices'!T162^'Px wts'!T$48)*('Px prices'!N162^'Px wts'!N$48)*('Px prices'!R162^'Px wts'!R$48)*('Px prices'!U162^'Px wts'!U$48)*('Px prices'!V162^'Px wts'!V$48)*('Px prices'!W162^'Px wts'!W$48)*('Px prices'!O162^'Px wts'!O$48)*('Px prices'!Q162^'Px wts'!Q$48)*('Px prices'!P162^'Px wts'!P$48)*('Px prices'!S162^'Px wts'!S$48)*('Px prices'!X162^'Px wts'!X$48)*('Px prices'!Y162^'Px wts'!Y$48)*('Px prices'!Z162^'Px wts'!Z$48)*('Px prices'!AA162^'Px wts'!AA$48)*('Px prices'!AC162^'Px wts'!AC$48)*('Px prices'!AD162^'Px wts'!AD$48)*('Px prices'!AB162^'Px wts'!AB$48)*('Px prices'!AE162^'Px wts'!AE$48)*('Px prices'!AF162^'Px wts'!AF$48)</f>
        <v>15.493593397969184</v>
      </c>
      <c r="AN163" s="51">
        <f>('Px prices'!B162^'Px wts'!B$49)*('Px prices'!C162^'Px wts'!C$49)*('Px prices'!E162^'Px wts'!E$49)*('Px prices'!F162^'Px wts'!F$49)*('Px prices'!H162^'Px wts'!H$49)*('Px prices'!J162^'Px wts'!J$49)*('Px prices'!K162^'Px wts'!K$49)*('Px prices'!I162^'Px wts'!I$49)*('Px prices'!L162^'Px wts'!L$49)*('Px prices'!T162^'Px wts'!T$49)*('Px prices'!N162^'Px wts'!N$49)*('Px prices'!R162^'Px wts'!R$49)*('Px prices'!U162^'Px wts'!U$49)*('Px prices'!V162^'Px wts'!V$49)*('Px prices'!W162^'Px wts'!W$49)*('Px prices'!O162^'Px wts'!O$49)*('Px prices'!Q162^'Px wts'!Q$49)*('Px prices'!P162^'Px wts'!P$49)*('Px prices'!S162^'Px wts'!S$49)*('Px prices'!X162^'Px wts'!X$49)*('Px prices'!Y162^'Px wts'!Y$49)*('Px prices'!Z162^'Px wts'!Z$49)*('Px prices'!AA162^'Px wts'!AA$49)*('Px prices'!AC162^'Px wts'!AC$49)*('Px prices'!AD162^'Px wts'!AD$49)*('Px prices'!AB162^'Px wts'!AB$49)*('Px prices'!AE162^'Px wts'!AE$49)*('Px prices'!AF162^'Px wts'!AF$49)</f>
        <v>17.504046775756184</v>
      </c>
    </row>
  </sheetData>
  <sheetCalcPr fullCalcOnLoad="1"/>
  <sortState ref="B170:B182">
    <sortCondition ref="B170:B182"/>
  </sortState>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F49"/>
  <sheetViews>
    <sheetView workbookViewId="0">
      <pane xSplit="1" ySplit="2" topLeftCell="B3" activePane="bottomRight" state="frozen"/>
      <selection pane="topRight" activeCell="B1" sqref="B1"/>
      <selection pane="bottomLeft" activeCell="A3" sqref="A3"/>
      <selection pane="bottomRight" activeCell="C5" sqref="C5"/>
    </sheetView>
  </sheetViews>
  <sheetFormatPr baseColWidth="10" defaultRowHeight="13"/>
  <cols>
    <col min="1" max="32" width="9.7109375" customWidth="1"/>
  </cols>
  <sheetData>
    <row r="1" spans="1:32" ht="15">
      <c r="A1" s="4"/>
      <c r="B1" s="33" t="s">
        <v>401</v>
      </c>
      <c r="C1" s="4"/>
      <c r="D1" s="4"/>
      <c r="E1" s="4"/>
      <c r="F1" s="4"/>
      <c r="G1" s="4"/>
      <c r="H1" s="4"/>
      <c r="I1" s="4"/>
      <c r="J1" s="4"/>
      <c r="K1" s="4"/>
      <c r="L1" s="4"/>
      <c r="M1" s="4"/>
      <c r="N1" s="51"/>
      <c r="O1" s="4"/>
      <c r="P1" s="4"/>
      <c r="Q1" s="4"/>
      <c r="R1" s="51"/>
      <c r="S1" s="4"/>
      <c r="T1" s="51"/>
      <c r="U1" s="51"/>
      <c r="V1" s="4"/>
      <c r="W1" s="4"/>
      <c r="X1" s="51"/>
      <c r="Y1" s="51"/>
      <c r="Z1" s="4"/>
      <c r="AA1" s="4"/>
      <c r="AB1" s="4"/>
      <c r="AC1" s="4"/>
      <c r="AD1" s="4"/>
      <c r="AE1" s="4"/>
      <c r="AF1" s="4"/>
    </row>
    <row r="2" spans="1:32" ht="15">
      <c r="A2" s="5"/>
      <c r="B2" s="4" t="s">
        <v>400</v>
      </c>
      <c r="C2" s="4" t="s">
        <v>168</v>
      </c>
      <c r="D2" s="4" t="s">
        <v>290</v>
      </c>
      <c r="E2" s="4" t="s">
        <v>295</v>
      </c>
      <c r="F2" s="4" t="s">
        <v>331</v>
      </c>
      <c r="G2" s="4" t="s">
        <v>49</v>
      </c>
      <c r="H2" s="4" t="s">
        <v>354</v>
      </c>
      <c r="I2" s="4" t="s">
        <v>124</v>
      </c>
      <c r="J2" s="4" t="s">
        <v>328</v>
      </c>
      <c r="K2" s="4" t="s">
        <v>50</v>
      </c>
      <c r="L2" s="4" t="s">
        <v>123</v>
      </c>
      <c r="M2" s="4" t="s">
        <v>51</v>
      </c>
      <c r="N2" s="4" t="s">
        <v>179</v>
      </c>
      <c r="O2" s="4" t="s">
        <v>52</v>
      </c>
      <c r="P2" s="4" t="s">
        <v>53</v>
      </c>
      <c r="Q2" s="4" t="s">
        <v>54</v>
      </c>
      <c r="R2" s="4" t="s">
        <v>180</v>
      </c>
      <c r="S2" s="4" t="s">
        <v>46</v>
      </c>
      <c r="T2" s="4" t="s">
        <v>176</v>
      </c>
      <c r="U2" s="4" t="s">
        <v>182</v>
      </c>
      <c r="V2" s="4" t="s">
        <v>55</v>
      </c>
      <c r="W2" s="4" t="s">
        <v>56</v>
      </c>
      <c r="X2" s="4" t="s">
        <v>177</v>
      </c>
      <c r="Y2" s="4" t="s">
        <v>181</v>
      </c>
      <c r="Z2" s="4" t="s">
        <v>57</v>
      </c>
      <c r="AA2" s="4" t="s">
        <v>58</v>
      </c>
      <c r="AB2" s="4" t="s">
        <v>45</v>
      </c>
      <c r="AC2" s="4" t="s">
        <v>59</v>
      </c>
      <c r="AD2" s="4" t="s">
        <v>60</v>
      </c>
      <c r="AE2" s="4" t="s">
        <v>202</v>
      </c>
      <c r="AF2" s="4" t="s">
        <v>203</v>
      </c>
    </row>
    <row r="3" spans="1:32" ht="15">
      <c r="A3" s="5">
        <v>1796</v>
      </c>
      <c r="B3" s="67">
        <v>730000</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spans="1:32" ht="15">
      <c r="A4" s="60">
        <v>1822</v>
      </c>
      <c r="B4" s="110">
        <f>2361488*(B$7/SUM($B$7:$C$7))</f>
        <v>2108906.0476529002</v>
      </c>
      <c r="C4" s="110">
        <f>2361488*(C$7/SUM($B$7:$C$7))</f>
        <v>252581.95234709996</v>
      </c>
      <c r="D4" s="66">
        <v>350652</v>
      </c>
      <c r="E4" s="66">
        <v>33417</v>
      </c>
      <c r="F4" s="66">
        <v>124800</v>
      </c>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ht="15">
      <c r="A5" s="60">
        <v>1837</v>
      </c>
      <c r="B5" s="110">
        <f>3294540*(B$7/SUM($B$7:$C$7))</f>
        <v>2942159.9136791658</v>
      </c>
      <c r="C5" s="110">
        <f>3294540*(C$7/SUM($B$7:$C$7))</f>
        <v>352380.08632083447</v>
      </c>
      <c r="D5" s="66">
        <v>446192</v>
      </c>
      <c r="E5" s="66">
        <v>329412</v>
      </c>
      <c r="F5" s="66">
        <v>150373</v>
      </c>
      <c r="G5" s="66"/>
      <c r="H5" s="66"/>
      <c r="I5" s="66"/>
      <c r="J5" s="66"/>
      <c r="K5" s="66"/>
      <c r="L5" s="66"/>
      <c r="M5" s="66"/>
      <c r="N5" s="66"/>
      <c r="O5" s="66"/>
      <c r="P5" s="66"/>
      <c r="Q5" s="66"/>
      <c r="R5" s="66"/>
      <c r="S5" s="66"/>
      <c r="T5" s="66"/>
      <c r="U5" s="66"/>
      <c r="V5" s="66"/>
      <c r="W5" s="66"/>
      <c r="X5" s="66"/>
      <c r="Y5" s="66"/>
      <c r="Z5" s="66"/>
      <c r="AA5" s="66"/>
      <c r="AB5" s="66"/>
      <c r="AC5" s="66"/>
      <c r="AD5" s="66"/>
      <c r="AE5" s="66"/>
      <c r="AF5" s="66"/>
    </row>
    <row r="6" spans="1:32" ht="15">
      <c r="A6" s="60">
        <v>1851</v>
      </c>
      <c r="B6" s="110">
        <f>1300570*(B$7/SUM($B$7:$C$7))</f>
        <v>1161462.5771530205</v>
      </c>
      <c r="C6" s="110">
        <f>1300570*(C$7/SUM($B$7:$C$7))</f>
        <v>139107.42284697946</v>
      </c>
      <c r="D6" s="66">
        <v>172749</v>
      </c>
      <c r="E6" s="66">
        <f>190+29140</f>
        <v>29330</v>
      </c>
      <c r="F6" s="66">
        <f>217690+22647+462</f>
        <v>240799</v>
      </c>
      <c r="G6" s="66"/>
      <c r="H6" s="66">
        <v>43200</v>
      </c>
      <c r="I6" s="66"/>
      <c r="J6" s="66"/>
      <c r="K6" s="66"/>
      <c r="L6" s="66"/>
      <c r="M6" s="66"/>
      <c r="N6" s="66"/>
      <c r="O6" s="66"/>
      <c r="P6" s="66"/>
      <c r="Q6" s="66"/>
      <c r="R6" s="66"/>
      <c r="S6" s="66"/>
      <c r="T6" s="66"/>
      <c r="U6" s="66"/>
      <c r="V6" s="66"/>
      <c r="W6" s="66"/>
      <c r="X6" s="66"/>
      <c r="Y6" s="66"/>
      <c r="Z6" s="66"/>
      <c r="AA6" s="66"/>
      <c r="AB6" s="66"/>
      <c r="AC6" s="66"/>
      <c r="AD6" s="66"/>
      <c r="AE6" s="66"/>
      <c r="AF6" s="66"/>
    </row>
    <row r="7" spans="1:32" ht="15">
      <c r="A7" s="60">
        <f>A6+15</f>
        <v>1866</v>
      </c>
      <c r="B7" s="67">
        <f>((1445605*35)*0.0004356)*'Cortes Conde et al'!L6</f>
        <v>11416561.40394</v>
      </c>
      <c r="C7" s="66">
        <f>((479399*60)*0.0004356)*'Cortes Conde et al'!M6</f>
        <v>1367352.2211703199</v>
      </c>
      <c r="D7" s="66">
        <v>984456</v>
      </c>
      <c r="E7" s="66">
        <v>13410825</v>
      </c>
      <c r="F7" s="66">
        <v>2535049</v>
      </c>
      <c r="G7" s="66">
        <v>639473</v>
      </c>
      <c r="H7" s="66">
        <v>2850389</v>
      </c>
      <c r="I7" s="66"/>
      <c r="J7" s="66"/>
      <c r="K7" s="66"/>
      <c r="L7" s="66"/>
      <c r="M7" s="66"/>
      <c r="N7" s="66"/>
      <c r="O7" s="66"/>
      <c r="P7" s="66"/>
      <c r="Q7" s="66"/>
      <c r="R7" s="66"/>
      <c r="S7" s="66"/>
      <c r="T7" s="66"/>
      <c r="U7" s="66"/>
      <c r="V7" s="66"/>
      <c r="W7" s="66"/>
      <c r="X7" s="66"/>
      <c r="Y7" s="66"/>
      <c r="Z7" s="66"/>
      <c r="AA7" s="66"/>
      <c r="AB7" s="66"/>
      <c r="AC7" s="66"/>
      <c r="AD7" s="66"/>
      <c r="AE7" s="66"/>
      <c r="AF7" s="66"/>
    </row>
    <row r="8" spans="1:32" ht="15">
      <c r="A8" s="60">
        <f>A7+15</f>
        <v>1881</v>
      </c>
      <c r="B8" s="66">
        <f>((1718720*35)*0.0004356)*'Cortes Conde et al'!L21</f>
        <v>15512534.231040001</v>
      </c>
      <c r="C8" s="66">
        <f>((473650*60)*0.0004356)*'Cortes Conde et al'!M21</f>
        <v>2389208.0652000001</v>
      </c>
      <c r="D8" s="66">
        <v>3364521</v>
      </c>
      <c r="E8" s="66">
        <v>28589255</v>
      </c>
      <c r="F8" s="66">
        <v>1605855</v>
      </c>
      <c r="G8" s="66">
        <v>1223019</v>
      </c>
      <c r="H8" s="66">
        <v>5082766</v>
      </c>
      <c r="I8" s="66">
        <v>10076</v>
      </c>
      <c r="J8" s="66">
        <v>452618</v>
      </c>
      <c r="K8" s="66">
        <v>129650</v>
      </c>
      <c r="L8" s="66"/>
      <c r="M8" s="66"/>
      <c r="N8" s="66"/>
      <c r="O8" s="66"/>
      <c r="P8" s="66"/>
      <c r="Q8" s="66"/>
      <c r="R8" s="66"/>
      <c r="S8" s="66"/>
      <c r="T8" s="66"/>
      <c r="U8" s="66"/>
      <c r="V8" s="66"/>
      <c r="W8" s="66"/>
      <c r="X8" s="66"/>
      <c r="Y8" s="66"/>
      <c r="Z8" s="66"/>
      <c r="AA8" s="66"/>
      <c r="AB8" s="66"/>
      <c r="AC8" s="66"/>
      <c r="AD8" s="66"/>
      <c r="AE8" s="66"/>
      <c r="AF8" s="66"/>
    </row>
    <row r="9" spans="1:32" ht="15">
      <c r="A9" s="60">
        <f>A8+15</f>
        <v>1896</v>
      </c>
      <c r="B9" s="66">
        <v>6224400</v>
      </c>
      <c r="C9" s="66">
        <v>5070284</v>
      </c>
      <c r="D9" s="66">
        <v>2945393</v>
      </c>
      <c r="E9" s="66">
        <v>37711419</v>
      </c>
      <c r="F9" s="66">
        <v>2665183</v>
      </c>
      <c r="G9" s="66">
        <v>9670586</v>
      </c>
      <c r="H9" s="66">
        <v>4873308</v>
      </c>
      <c r="I9" s="66">
        <v>12830027</v>
      </c>
      <c r="J9" s="66">
        <v>15994556</v>
      </c>
      <c r="K9" s="66">
        <v>1949556</v>
      </c>
      <c r="L9" s="66">
        <v>6856106</v>
      </c>
      <c r="M9" s="66">
        <v>754284</v>
      </c>
      <c r="N9" s="66"/>
      <c r="O9" s="66"/>
      <c r="P9" s="66"/>
      <c r="Q9" s="66"/>
      <c r="R9" s="66"/>
      <c r="S9" s="66"/>
      <c r="T9" s="66"/>
      <c r="U9" s="66"/>
      <c r="V9" s="66"/>
      <c r="W9" s="66"/>
      <c r="X9" s="66"/>
      <c r="Y9" s="66"/>
      <c r="Z9" s="66"/>
      <c r="AA9" s="66"/>
      <c r="AB9" s="66"/>
      <c r="AC9" s="66"/>
      <c r="AD9" s="66"/>
      <c r="AE9" s="66"/>
      <c r="AF9" s="66"/>
    </row>
    <row r="10" spans="1:32" ht="15">
      <c r="A10" s="60">
        <v>1910</v>
      </c>
      <c r="B10" s="66">
        <v>13758036</v>
      </c>
      <c r="C10" s="66">
        <v>16953372</v>
      </c>
      <c r="D10" s="66">
        <v>1033020</v>
      </c>
      <c r="E10" s="66">
        <v>58847699</v>
      </c>
      <c r="F10" s="66">
        <v>10563139</v>
      </c>
      <c r="G10" s="66">
        <v>4667013</v>
      </c>
      <c r="H10" s="66">
        <v>8858156</v>
      </c>
      <c r="I10" s="66">
        <v>72202260</v>
      </c>
      <c r="J10" s="66">
        <v>60260804</v>
      </c>
      <c r="K10" s="66">
        <v>4947137</v>
      </c>
      <c r="L10" s="66">
        <v>44604395</v>
      </c>
      <c r="M10" s="66">
        <v>1312518</v>
      </c>
      <c r="N10" s="66">
        <v>131574</v>
      </c>
      <c r="O10" s="66">
        <v>1181740</v>
      </c>
      <c r="P10" s="66">
        <v>2126432</v>
      </c>
      <c r="Q10" s="66">
        <v>34337380</v>
      </c>
      <c r="R10" s="66">
        <v>4521783</v>
      </c>
      <c r="S10" s="66">
        <v>1812211</v>
      </c>
      <c r="T10" s="66">
        <v>8142575</v>
      </c>
      <c r="U10" s="66">
        <v>10036</v>
      </c>
      <c r="V10" s="66">
        <v>5604430</v>
      </c>
      <c r="W10" s="66">
        <v>4429357</v>
      </c>
      <c r="X10" s="66">
        <v>11584</v>
      </c>
      <c r="Y10" s="66"/>
      <c r="Z10" s="66"/>
      <c r="AA10" s="66"/>
      <c r="AB10" s="66"/>
      <c r="AC10" s="66"/>
      <c r="AD10" s="66"/>
      <c r="AE10" s="66"/>
      <c r="AF10" s="66"/>
    </row>
    <row r="11" spans="1:32" ht="15">
      <c r="A11" s="5">
        <v>1925</v>
      </c>
      <c r="B11" s="66">
        <v>14863640</v>
      </c>
      <c r="C11" s="66">
        <v>54687388</v>
      </c>
      <c r="D11" s="66"/>
      <c r="E11" s="66">
        <v>68761716</v>
      </c>
      <c r="F11" s="66"/>
      <c r="G11" s="66"/>
      <c r="H11" s="66">
        <v>5127729</v>
      </c>
      <c r="I11" s="66">
        <v>192065477</v>
      </c>
      <c r="J11" s="66">
        <v>116152212</v>
      </c>
      <c r="K11" s="66">
        <v>12637900</v>
      </c>
      <c r="L11" s="66">
        <v>87150188</v>
      </c>
      <c r="M11" s="66"/>
      <c r="N11" s="66">
        <v>2910018</v>
      </c>
      <c r="O11" s="66">
        <v>69843126</v>
      </c>
      <c r="P11" s="66">
        <v>16536263</v>
      </c>
      <c r="Q11" s="66">
        <v>47555198</v>
      </c>
      <c r="R11" s="66">
        <v>5942435</v>
      </c>
      <c r="S11" s="66">
        <v>20523716</v>
      </c>
      <c r="T11" s="66">
        <v>16717448</v>
      </c>
      <c r="U11" s="66">
        <v>12587</v>
      </c>
      <c r="V11" s="66">
        <v>2737066</v>
      </c>
      <c r="W11" s="66">
        <v>18049725</v>
      </c>
      <c r="X11" s="66">
        <v>334019</v>
      </c>
      <c r="Y11" s="66">
        <v>3721286</v>
      </c>
      <c r="Z11" s="66">
        <v>3200425</v>
      </c>
      <c r="AA11" s="66">
        <v>21399415</v>
      </c>
      <c r="AB11" s="66">
        <v>3051443</v>
      </c>
      <c r="AC11" s="66">
        <v>3120329</v>
      </c>
      <c r="AD11" s="66">
        <v>4489823</v>
      </c>
      <c r="AE11" s="66">
        <v>2898417</v>
      </c>
      <c r="AF11" s="66">
        <v>5659846</v>
      </c>
    </row>
    <row r="12" spans="1:32" ht="15">
      <c r="A12" s="5">
        <v>1938</v>
      </c>
      <c r="B12" s="66">
        <v>5009375</v>
      </c>
      <c r="C12" s="66">
        <v>31773232</v>
      </c>
      <c r="D12" s="66"/>
      <c r="E12" s="66">
        <v>54011202</v>
      </c>
      <c r="F12" s="66"/>
      <c r="G12" s="66"/>
      <c r="H12" s="66">
        <v>4033697</v>
      </c>
      <c r="I12" s="66">
        <v>80700553</v>
      </c>
      <c r="J12" s="66">
        <v>79429543</v>
      </c>
      <c r="K12" s="66">
        <v>4499113</v>
      </c>
      <c r="L12" s="66">
        <v>79737980</v>
      </c>
      <c r="M12" s="66"/>
      <c r="N12" s="66">
        <v>8090706</v>
      </c>
      <c r="O12" s="66">
        <v>73164390</v>
      </c>
      <c r="P12" s="66">
        <v>19697693</v>
      </c>
      <c r="Q12" s="66">
        <v>14652460</v>
      </c>
      <c r="R12" s="66">
        <v>6997591</v>
      </c>
      <c r="S12" s="66">
        <v>3919435</v>
      </c>
      <c r="T12" s="66">
        <v>9971493</v>
      </c>
      <c r="U12" s="66">
        <v>476048</v>
      </c>
      <c r="V12" s="66">
        <v>1834877</v>
      </c>
      <c r="W12" s="66">
        <v>15177870</v>
      </c>
      <c r="X12" s="66">
        <v>156536</v>
      </c>
      <c r="Y12" s="66">
        <v>5333889</v>
      </c>
      <c r="Z12" s="66">
        <v>831408</v>
      </c>
      <c r="AA12" s="66">
        <v>14877203</v>
      </c>
      <c r="AB12" s="66">
        <v>1566042</v>
      </c>
      <c r="AC12" s="66">
        <v>1133420</v>
      </c>
      <c r="AD12" s="66">
        <v>5020819</v>
      </c>
      <c r="AE12" s="66">
        <v>9949427</v>
      </c>
      <c r="AF12" s="66">
        <v>3689640</v>
      </c>
    </row>
    <row r="13" spans="1:32" ht="15">
      <c r="A13" s="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1:32" ht="15">
      <c r="A14" s="4"/>
      <c r="B14" s="33" t="s">
        <v>261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15">
      <c r="A15" s="4"/>
      <c r="B15" s="4" t="s">
        <v>400</v>
      </c>
      <c r="C15" s="4" t="s">
        <v>168</v>
      </c>
      <c r="D15" s="4" t="s">
        <v>290</v>
      </c>
      <c r="E15" s="4" t="s">
        <v>295</v>
      </c>
      <c r="F15" s="4" t="s">
        <v>331</v>
      </c>
      <c r="G15" s="4" t="s">
        <v>49</v>
      </c>
      <c r="H15" s="4" t="s">
        <v>354</v>
      </c>
      <c r="I15" s="4" t="s">
        <v>124</v>
      </c>
      <c r="J15" s="4" t="s">
        <v>328</v>
      </c>
      <c r="K15" s="4" t="s">
        <v>50</v>
      </c>
      <c r="L15" s="4" t="s">
        <v>123</v>
      </c>
      <c r="M15" s="4" t="s">
        <v>51</v>
      </c>
      <c r="N15" s="4" t="s">
        <v>179</v>
      </c>
      <c r="O15" s="4" t="s">
        <v>52</v>
      </c>
      <c r="P15" s="4" t="s">
        <v>53</v>
      </c>
      <c r="Q15" s="4" t="s">
        <v>54</v>
      </c>
      <c r="R15" s="4" t="s">
        <v>180</v>
      </c>
      <c r="S15" s="4" t="s">
        <v>46</v>
      </c>
      <c r="T15" s="4" t="s">
        <v>176</v>
      </c>
      <c r="U15" s="4" t="s">
        <v>182</v>
      </c>
      <c r="V15" s="4" t="s">
        <v>55</v>
      </c>
      <c r="W15" s="4" t="s">
        <v>56</v>
      </c>
      <c r="X15" s="4" t="s">
        <v>177</v>
      </c>
      <c r="Y15" s="4" t="s">
        <v>181</v>
      </c>
      <c r="Z15" s="4" t="s">
        <v>57</v>
      </c>
      <c r="AA15" s="4" t="s">
        <v>58</v>
      </c>
      <c r="AB15" s="4" t="s">
        <v>45</v>
      </c>
      <c r="AC15" s="4" t="s">
        <v>59</v>
      </c>
      <c r="AD15" s="4" t="s">
        <v>60</v>
      </c>
      <c r="AE15" s="4" t="s">
        <v>202</v>
      </c>
      <c r="AF15" s="4" t="s">
        <v>203</v>
      </c>
    </row>
    <row r="16" spans="1:32" ht="15">
      <c r="A16" s="61">
        <v>1796</v>
      </c>
      <c r="B16" s="50">
        <f>B3/SUM($B3:$AF3)</f>
        <v>1</v>
      </c>
      <c r="C16" s="4"/>
      <c r="D16" s="50"/>
      <c r="E16" s="50"/>
      <c r="F16" s="50"/>
      <c r="G16" s="50"/>
      <c r="H16" s="50"/>
      <c r="I16" s="50"/>
      <c r="J16" s="50"/>
      <c r="K16" s="50"/>
      <c r="L16" s="50"/>
      <c r="M16" s="50"/>
      <c r="N16" s="50"/>
      <c r="O16" s="4"/>
      <c r="P16" s="4"/>
      <c r="Q16" s="4"/>
      <c r="R16" s="50"/>
      <c r="S16" s="4"/>
      <c r="T16" s="50"/>
      <c r="U16" s="50"/>
      <c r="V16" s="4"/>
      <c r="W16" s="4"/>
      <c r="X16" s="50"/>
      <c r="Y16" s="50"/>
      <c r="Z16" s="4"/>
      <c r="AA16" s="4"/>
      <c r="AB16" s="4"/>
      <c r="AC16" s="4"/>
      <c r="AD16" s="4"/>
      <c r="AE16" s="4"/>
      <c r="AF16" s="4"/>
    </row>
    <row r="17" spans="1:32" ht="15">
      <c r="A17" s="62">
        <v>1822</v>
      </c>
      <c r="B17" s="4"/>
      <c r="C17" s="4"/>
      <c r="D17" s="4"/>
      <c r="E17" s="4"/>
      <c r="F17" s="4"/>
      <c r="G17" s="50"/>
      <c r="H17" s="50"/>
      <c r="I17" s="50"/>
      <c r="J17" s="50"/>
      <c r="K17" s="50"/>
      <c r="L17" s="50"/>
      <c r="M17" s="50"/>
      <c r="N17" s="50"/>
      <c r="O17" s="4"/>
      <c r="P17" s="4"/>
      <c r="Q17" s="4"/>
      <c r="R17" s="50"/>
      <c r="S17" s="4"/>
      <c r="T17" s="50"/>
      <c r="U17" s="50"/>
      <c r="V17" s="4"/>
      <c r="W17" s="4"/>
      <c r="X17" s="50"/>
      <c r="Y17" s="50"/>
      <c r="Z17" s="4"/>
      <c r="AA17" s="4"/>
      <c r="AB17" s="4"/>
      <c r="AC17" s="4"/>
      <c r="AD17" s="4"/>
      <c r="AE17" s="4"/>
      <c r="AF17" s="4"/>
    </row>
    <row r="18" spans="1:32" ht="15">
      <c r="A18" s="63" t="s">
        <v>262</v>
      </c>
      <c r="B18" s="50">
        <f>B16</f>
        <v>1</v>
      </c>
      <c r="C18" s="4"/>
      <c r="D18" s="4"/>
      <c r="E18" s="4"/>
      <c r="F18" s="4"/>
      <c r="G18" s="50"/>
      <c r="H18" s="50"/>
      <c r="I18" s="50"/>
      <c r="J18" s="50"/>
      <c r="K18" s="50"/>
      <c r="L18" s="50"/>
      <c r="M18" s="50"/>
      <c r="N18" s="50"/>
      <c r="O18" s="4"/>
      <c r="P18" s="4"/>
      <c r="Q18" s="4"/>
      <c r="R18" s="50"/>
      <c r="S18" s="4"/>
      <c r="T18" s="50"/>
      <c r="U18" s="50"/>
      <c r="V18" s="4"/>
      <c r="W18" s="4"/>
      <c r="X18" s="50"/>
      <c r="Y18" s="50"/>
      <c r="Z18" s="4"/>
      <c r="AA18" s="4"/>
      <c r="AB18" s="4"/>
      <c r="AC18" s="4"/>
      <c r="AD18" s="4"/>
      <c r="AE18" s="4"/>
      <c r="AF18" s="4"/>
    </row>
    <row r="19" spans="1:32" ht="15">
      <c r="A19" s="63" t="s">
        <v>250</v>
      </c>
      <c r="B19" s="50">
        <f>B20/(SUM($B20:$F20)-$E20-$F20-$D20)</f>
        <v>0.89304118744321381</v>
      </c>
      <c r="C19" s="50">
        <f>C20/(SUM($B20:$F20)-$E20-$F20-$D20)</f>
        <v>0.1069588125567862</v>
      </c>
      <c r="D19" s="50"/>
      <c r="E19" s="50"/>
      <c r="F19" s="50"/>
      <c r="G19" s="50"/>
      <c r="H19" s="50"/>
      <c r="I19" s="50"/>
      <c r="J19" s="50"/>
      <c r="K19" s="50"/>
      <c r="L19" s="50"/>
      <c r="M19" s="50"/>
      <c r="N19" s="50"/>
      <c r="O19" s="4"/>
      <c r="P19" s="4"/>
      <c r="Q19" s="4"/>
      <c r="R19" s="50"/>
      <c r="S19" s="4"/>
      <c r="T19" s="50"/>
      <c r="U19" s="50"/>
      <c r="V19" s="4"/>
      <c r="W19" s="4"/>
      <c r="X19" s="50"/>
      <c r="Y19" s="50"/>
      <c r="Z19" s="4"/>
      <c r="AA19" s="4"/>
      <c r="AB19" s="4"/>
      <c r="AC19" s="4"/>
      <c r="AD19" s="4"/>
      <c r="AE19" s="4"/>
      <c r="AF19" s="4"/>
    </row>
    <row r="20" spans="1:32" ht="15">
      <c r="A20" s="63" t="s">
        <v>252</v>
      </c>
      <c r="B20" s="50">
        <f>B21/(SUM($B21:$F21)-$E21-$F21)</f>
        <v>0.77758008349602159</v>
      </c>
      <c r="C20" s="50">
        <f>C21/(SUM($B21:$F21)-$E21-$F21)</f>
        <v>9.3130130578473067E-2</v>
      </c>
      <c r="D20" s="50">
        <f>D21/(SUM($B21:$F21)-$E21-$F21)</f>
        <v>0.1292897859255053</v>
      </c>
      <c r="E20" s="50"/>
      <c r="F20" s="50"/>
      <c r="G20" s="50"/>
      <c r="H20" s="50"/>
      <c r="I20" s="50"/>
      <c r="J20" s="50"/>
      <c r="K20" s="50"/>
      <c r="L20" s="50"/>
      <c r="M20" s="50"/>
      <c r="N20" s="50"/>
      <c r="O20" s="4"/>
      <c r="P20" s="4"/>
      <c r="Q20" s="4"/>
      <c r="R20" s="50"/>
      <c r="S20" s="4"/>
      <c r="T20" s="50"/>
      <c r="U20" s="50"/>
      <c r="V20" s="4"/>
      <c r="W20" s="4"/>
      <c r="X20" s="50"/>
      <c r="Y20" s="50"/>
      <c r="Z20" s="4"/>
      <c r="AA20" s="4"/>
      <c r="AB20" s="4"/>
      <c r="AC20" s="4"/>
      <c r="AD20" s="4"/>
      <c r="AE20" s="4"/>
      <c r="AF20" s="4"/>
    </row>
    <row r="21" spans="1:32" ht="15">
      <c r="A21" s="63" t="s">
        <v>251</v>
      </c>
      <c r="B21" s="50">
        <f>B4/SUM($B4:$AF4)</f>
        <v>0.73471907768019806</v>
      </c>
      <c r="C21" s="50">
        <f>C4/SUM($B4:$AF4)</f>
        <v>8.7996702970083496E-2</v>
      </c>
      <c r="D21" s="50">
        <f>D4/SUM($B4:$AF4)</f>
        <v>0.12216320130213768</v>
      </c>
      <c r="E21" s="50">
        <f>E4/SUM($B4:$AF4)</f>
        <v>1.1642105842583345E-2</v>
      </c>
      <c r="F21" s="50">
        <f>F4/SUM($B4:$AF4)</f>
        <v>4.34789122049975E-2</v>
      </c>
      <c r="G21" s="50"/>
      <c r="H21" s="50"/>
      <c r="I21" s="50"/>
      <c r="J21" s="50"/>
      <c r="K21" s="50"/>
      <c r="L21" s="50"/>
      <c r="M21" s="50"/>
      <c r="N21" s="50"/>
      <c r="O21" s="4"/>
      <c r="P21" s="4"/>
      <c r="Q21" s="4"/>
      <c r="R21" s="50"/>
      <c r="S21" s="4"/>
      <c r="T21" s="50"/>
      <c r="U21" s="50"/>
      <c r="V21" s="4"/>
      <c r="W21" s="4"/>
      <c r="X21" s="50"/>
      <c r="Y21" s="50"/>
      <c r="Z21" s="4"/>
      <c r="AA21" s="4"/>
      <c r="AB21" s="4"/>
      <c r="AC21" s="4"/>
      <c r="AD21" s="4"/>
      <c r="AE21" s="4"/>
      <c r="AF21" s="4"/>
    </row>
    <row r="22" spans="1:32" ht="15">
      <c r="A22" s="62">
        <v>1837</v>
      </c>
      <c r="B22" s="4"/>
      <c r="C22" s="4"/>
      <c r="D22" s="4"/>
      <c r="E22" s="4"/>
      <c r="F22" s="4"/>
      <c r="G22" s="50"/>
      <c r="H22" s="50"/>
      <c r="I22" s="50"/>
      <c r="J22" s="50"/>
      <c r="K22" s="50"/>
      <c r="L22" s="50"/>
      <c r="M22" s="50"/>
      <c r="N22" s="50"/>
      <c r="O22" s="4"/>
      <c r="P22" s="4"/>
      <c r="Q22" s="4"/>
      <c r="R22" s="50"/>
      <c r="S22" s="4"/>
      <c r="T22" s="50"/>
      <c r="U22" s="50"/>
      <c r="V22" s="4"/>
      <c r="W22" s="4"/>
      <c r="X22" s="50"/>
      <c r="Y22" s="50"/>
      <c r="Z22" s="4"/>
      <c r="AA22" s="4"/>
      <c r="AB22" s="4"/>
      <c r="AC22" s="4"/>
      <c r="AD22" s="4"/>
      <c r="AE22" s="4"/>
      <c r="AF22" s="4"/>
    </row>
    <row r="23" spans="1:32" ht="15">
      <c r="A23" s="63" t="s">
        <v>250</v>
      </c>
      <c r="B23" s="50">
        <f>B24/(SUM($B24:$F24)-$E24-$F24-$D24)</f>
        <v>0.89304118744321381</v>
      </c>
      <c r="C23" s="50">
        <f>C24/(SUM($B24:$F24)-$E24-$F24-$D24)</f>
        <v>0.10695881255678621</v>
      </c>
      <c r="D23" s="50"/>
      <c r="E23" s="50"/>
      <c r="F23" s="50"/>
      <c r="G23" s="50"/>
      <c r="H23" s="50"/>
      <c r="I23" s="50"/>
      <c r="J23" s="50"/>
      <c r="K23" s="50"/>
      <c r="L23" s="50"/>
      <c r="M23" s="50"/>
      <c r="N23" s="50"/>
      <c r="O23" s="4"/>
      <c r="P23" s="4"/>
      <c r="Q23" s="4"/>
      <c r="R23" s="50"/>
      <c r="S23" s="4"/>
      <c r="T23" s="50"/>
      <c r="U23" s="50"/>
      <c r="V23" s="4"/>
      <c r="W23" s="4"/>
      <c r="X23" s="50"/>
      <c r="Y23" s="50"/>
      <c r="Z23" s="4"/>
      <c r="AA23" s="4"/>
      <c r="AB23" s="4"/>
      <c r="AC23" s="4"/>
      <c r="AD23" s="4"/>
      <c r="AE23" s="4"/>
      <c r="AF23" s="4"/>
    </row>
    <row r="24" spans="1:32" ht="15">
      <c r="A24" s="63" t="s">
        <v>252</v>
      </c>
      <c r="B24" s="50">
        <f>B25/(SUM($B25:$F25)-$E25-$F25)</f>
        <v>0.78651983453483587</v>
      </c>
      <c r="C24" s="50">
        <f>C25/(SUM($B25:$F25)-$E25-$F25)</f>
        <v>9.4200837248120006E-2</v>
      </c>
      <c r="D24" s="50">
        <f>D25/(SUM($B25:$F25)-$E25-$F25)</f>
        <v>0.11927932821704415</v>
      </c>
      <c r="E24" s="50"/>
      <c r="F24" s="50"/>
      <c r="G24" s="50"/>
      <c r="H24" s="50"/>
      <c r="I24" s="50"/>
      <c r="J24" s="50"/>
      <c r="K24" s="50"/>
      <c r="L24" s="50"/>
      <c r="M24" s="50"/>
      <c r="N24" s="50"/>
      <c r="O24" s="4"/>
      <c r="P24" s="4"/>
      <c r="Q24" s="4"/>
      <c r="R24" s="50"/>
      <c r="S24" s="4"/>
      <c r="T24" s="50"/>
      <c r="U24" s="50"/>
      <c r="V24" s="4"/>
      <c r="W24" s="4"/>
      <c r="X24" s="50"/>
      <c r="Y24" s="50"/>
      <c r="Z24" s="4"/>
      <c r="AA24" s="4"/>
      <c r="AB24" s="4"/>
      <c r="AC24" s="4"/>
      <c r="AD24" s="4"/>
      <c r="AE24" s="4"/>
      <c r="AF24" s="4"/>
    </row>
    <row r="25" spans="1:32" ht="15">
      <c r="A25" s="63" t="s">
        <v>251</v>
      </c>
      <c r="B25" s="50">
        <f>B5/SUM($B5:$AF5)</f>
        <v>0.69710888824264083</v>
      </c>
      <c r="C25" s="50">
        <f>C5/SUM($B5:$AF5)</f>
        <v>8.3492161344412175E-2</v>
      </c>
      <c r="D25" s="50">
        <f>D5/SUM($B5:$AF5)</f>
        <v>0.10571974949988354</v>
      </c>
      <c r="E25" s="50">
        <f>E5/SUM($B5:$AF5)</f>
        <v>7.80501535712331E-2</v>
      </c>
      <c r="F25" s="50">
        <f>F5/SUM($B5:$AF5)</f>
        <v>3.5629047341830394E-2</v>
      </c>
      <c r="G25" s="50"/>
      <c r="H25" s="50"/>
      <c r="I25" s="50"/>
      <c r="J25" s="50"/>
      <c r="K25" s="50"/>
      <c r="L25" s="50"/>
      <c r="M25" s="50"/>
      <c r="N25" s="50"/>
      <c r="O25" s="4"/>
      <c r="P25" s="4"/>
      <c r="Q25" s="4"/>
      <c r="R25" s="50"/>
      <c r="S25" s="4"/>
      <c r="T25" s="50"/>
      <c r="U25" s="50"/>
      <c r="V25" s="4"/>
      <c r="W25" s="4"/>
      <c r="X25" s="50"/>
      <c r="Y25" s="50"/>
      <c r="Z25" s="4"/>
      <c r="AA25" s="4"/>
      <c r="AB25" s="4"/>
      <c r="AC25" s="4"/>
      <c r="AD25" s="4"/>
      <c r="AE25" s="4"/>
      <c r="AF25" s="4"/>
    </row>
    <row r="26" spans="1:32" ht="15">
      <c r="A26" s="62">
        <v>1851</v>
      </c>
      <c r="B26" s="4"/>
      <c r="C26" s="4"/>
      <c r="D26" s="4"/>
      <c r="E26" s="4"/>
      <c r="F26" s="4"/>
      <c r="G26" s="50"/>
      <c r="H26" s="50"/>
      <c r="I26" s="50"/>
      <c r="J26" s="50"/>
      <c r="K26" s="50"/>
      <c r="L26" s="50"/>
      <c r="M26" s="50"/>
      <c r="N26" s="50"/>
      <c r="O26" s="4"/>
      <c r="P26" s="4"/>
      <c r="Q26" s="4"/>
      <c r="R26" s="50"/>
      <c r="S26" s="4"/>
      <c r="T26" s="50"/>
      <c r="U26" s="50"/>
      <c r="V26" s="4"/>
      <c r="W26" s="4"/>
      <c r="X26" s="50"/>
      <c r="Y26" s="50"/>
      <c r="Z26" s="4"/>
      <c r="AA26" s="4"/>
      <c r="AB26" s="4"/>
      <c r="AC26" s="4"/>
      <c r="AD26" s="4"/>
      <c r="AE26" s="4"/>
      <c r="AF26" s="4"/>
    </row>
    <row r="27" spans="1:32" ht="15">
      <c r="A27" s="63" t="s">
        <v>263</v>
      </c>
      <c r="B27" s="50">
        <f>B28/(SUM($B28:$H28)-$H28)</f>
        <v>0.66618710575424134</v>
      </c>
      <c r="C27" s="50">
        <f>C28/(SUM($B28:$H28)-$H28)</f>
        <v>7.9788684748257177E-2</v>
      </c>
      <c r="D27" s="50">
        <f>D28/(SUM($B28:$H28)-$H28)</f>
        <v>9.9084687355172049E-2</v>
      </c>
      <c r="E27" s="50">
        <f>E28/(SUM($B28:$H28)-$H28)</f>
        <v>1.6822985256801464E-2</v>
      </c>
      <c r="F27" s="50">
        <f>F28/(SUM($B28:$H28)-$H28)</f>
        <v>0.138116536885528</v>
      </c>
      <c r="G27" s="50"/>
      <c r="H27" s="50"/>
      <c r="I27" s="50"/>
      <c r="J27" s="50"/>
      <c r="K27" s="50"/>
      <c r="L27" s="50"/>
      <c r="M27" s="50"/>
      <c r="N27" s="50"/>
      <c r="O27" s="4"/>
      <c r="P27" s="4"/>
      <c r="Q27" s="4"/>
      <c r="R27" s="50"/>
      <c r="S27" s="4"/>
      <c r="T27" s="50"/>
      <c r="U27" s="50"/>
      <c r="V27" s="4"/>
      <c r="W27" s="4"/>
      <c r="X27" s="50"/>
      <c r="Y27" s="50"/>
      <c r="Z27" s="4"/>
      <c r="AA27" s="4"/>
      <c r="AB27" s="4"/>
      <c r="AC27" s="4"/>
      <c r="AD27" s="4"/>
      <c r="AE27" s="4"/>
      <c r="AF27" s="4"/>
    </row>
    <row r="28" spans="1:32" ht="15">
      <c r="A28" s="63" t="s">
        <v>138</v>
      </c>
      <c r="B28" s="50">
        <f t="shared" ref="B28:F29" si="0">B6/SUM($B6:$AF6)</f>
        <v>0.65007912983028582</v>
      </c>
      <c r="C28" s="50">
        <f t="shared" si="0"/>
        <v>7.7859445647368408E-2</v>
      </c>
      <c r="D28" s="50">
        <f t="shared" si="0"/>
        <v>9.6688883316691371E-2</v>
      </c>
      <c r="E28" s="50">
        <f t="shared" si="0"/>
        <v>1.6416216288826897E-2</v>
      </c>
      <c r="F28" s="50">
        <f t="shared" si="0"/>
        <v>0.13477696781906676</v>
      </c>
      <c r="G28" s="50"/>
      <c r="H28" s="50">
        <f>H6/SUM($B6:$AF6)</f>
        <v>2.4179357097760722E-2</v>
      </c>
      <c r="I28" s="50"/>
      <c r="J28" s="50"/>
      <c r="K28" s="50"/>
      <c r="L28" s="50"/>
      <c r="M28" s="50"/>
      <c r="N28" s="50"/>
      <c r="O28" s="4"/>
      <c r="P28" s="4"/>
      <c r="Q28" s="4"/>
      <c r="R28" s="50"/>
      <c r="S28" s="4"/>
      <c r="T28" s="50"/>
      <c r="U28" s="50"/>
      <c r="V28" s="4"/>
      <c r="W28" s="4"/>
      <c r="X28" s="50"/>
      <c r="Y28" s="50"/>
      <c r="Z28" s="4"/>
      <c r="AA28" s="4"/>
      <c r="AB28" s="4"/>
      <c r="AC28" s="4"/>
      <c r="AD28" s="4"/>
      <c r="AE28" s="4"/>
      <c r="AF28" s="4"/>
    </row>
    <row r="29" spans="1:32" ht="15">
      <c r="A29" s="62">
        <v>1866</v>
      </c>
      <c r="B29" s="50">
        <f t="shared" si="0"/>
        <v>0.34382981227798298</v>
      </c>
      <c r="C29" s="50">
        <f t="shared" si="0"/>
        <v>4.1180215380843495E-2</v>
      </c>
      <c r="D29" s="50">
        <f t="shared" si="0"/>
        <v>2.9648622706931565E-2</v>
      </c>
      <c r="E29" s="50">
        <f t="shared" si="0"/>
        <v>0.40389056556482517</v>
      </c>
      <c r="F29" s="50">
        <f t="shared" si="0"/>
        <v>7.6347456203816277E-2</v>
      </c>
      <c r="G29" s="50">
        <f>G7/SUM($B7:$AF7)</f>
        <v>1.9258853324343239E-2</v>
      </c>
      <c r="H29" s="50">
        <f>H7/SUM($B7:$AF7)</f>
        <v>8.5844474541257265E-2</v>
      </c>
      <c r="I29" s="50"/>
      <c r="J29" s="50"/>
      <c r="K29" s="50"/>
      <c r="L29" s="50"/>
      <c r="M29" s="50"/>
      <c r="N29" s="50"/>
      <c r="O29" s="4"/>
      <c r="P29" s="4"/>
      <c r="Q29" s="4"/>
      <c r="R29" s="50"/>
      <c r="S29" s="4"/>
      <c r="T29" s="50"/>
      <c r="U29" s="50"/>
      <c r="V29" s="4"/>
      <c r="W29" s="4"/>
      <c r="X29" s="50"/>
      <c r="Y29" s="50"/>
      <c r="Z29" s="4"/>
      <c r="AA29" s="4"/>
      <c r="AB29" s="4"/>
      <c r="AC29" s="4"/>
      <c r="AD29" s="4"/>
      <c r="AE29" s="4"/>
      <c r="AF29" s="4"/>
    </row>
    <row r="30" spans="1:32" ht="15">
      <c r="A30" s="62">
        <v>1881</v>
      </c>
      <c r="B30" s="4"/>
      <c r="C30" s="4"/>
      <c r="D30" s="4"/>
      <c r="E30" s="4"/>
      <c r="F30" s="4"/>
      <c r="G30" s="4"/>
      <c r="H30" s="4"/>
      <c r="I30" s="4"/>
      <c r="J30" s="4"/>
      <c r="K30" s="4"/>
      <c r="L30" s="4"/>
      <c r="M30" s="4"/>
      <c r="N30" s="4"/>
      <c r="O30" s="4"/>
      <c r="P30" s="4"/>
      <c r="Q30" s="4"/>
      <c r="R30" s="4"/>
      <c r="S30" s="4"/>
      <c r="T30" s="4"/>
      <c r="U30" s="50"/>
      <c r="V30" s="4"/>
      <c r="W30" s="4"/>
      <c r="X30" s="4"/>
      <c r="Y30" s="4"/>
      <c r="Z30" s="4"/>
      <c r="AA30" s="4"/>
      <c r="AB30" s="4"/>
      <c r="AC30" s="4"/>
      <c r="AD30" s="4"/>
      <c r="AE30" s="4"/>
      <c r="AF30" s="4"/>
    </row>
    <row r="31" spans="1:32" ht="15">
      <c r="A31" s="63" t="s">
        <v>264</v>
      </c>
      <c r="B31" s="50">
        <f t="shared" ref="B31:H31" si="1">B32/(SUM($B32:$M32)-$K32-$J32-$I32)</f>
        <v>0.26853552586902463</v>
      </c>
      <c r="C31" s="50">
        <f t="shared" si="1"/>
        <v>4.1359279834187558E-2</v>
      </c>
      <c r="D31" s="50">
        <f t="shared" si="1"/>
        <v>5.8242799182645487E-2</v>
      </c>
      <c r="E31" s="50">
        <f t="shared" si="1"/>
        <v>0.49490499174962599</v>
      </c>
      <c r="F31" s="50">
        <f t="shared" si="1"/>
        <v>2.7798753606069683E-2</v>
      </c>
      <c r="G31" s="50">
        <f t="shared" si="1"/>
        <v>2.1171527838155832E-2</v>
      </c>
      <c r="H31" s="50">
        <f t="shared" si="1"/>
        <v>8.7987121920290665E-2</v>
      </c>
      <c r="I31" s="50"/>
      <c r="J31" s="50"/>
      <c r="K31" s="50"/>
      <c r="L31" s="50"/>
      <c r="M31" s="50"/>
      <c r="N31" s="50"/>
      <c r="O31" s="4"/>
      <c r="P31" s="4"/>
      <c r="Q31" s="4"/>
      <c r="R31" s="50"/>
      <c r="S31" s="4"/>
      <c r="T31" s="50"/>
      <c r="U31" s="50"/>
      <c r="V31" s="4"/>
      <c r="W31" s="4"/>
      <c r="X31" s="50"/>
      <c r="Y31" s="50"/>
      <c r="Z31" s="4"/>
      <c r="AA31" s="4"/>
      <c r="AB31" s="4"/>
      <c r="AC31" s="4"/>
      <c r="AD31" s="4"/>
      <c r="AE31" s="4"/>
      <c r="AF31" s="4"/>
    </row>
    <row r="32" spans="1:32" ht="15">
      <c r="A32" s="63" t="s">
        <v>254</v>
      </c>
      <c r="B32" s="50">
        <f t="shared" ref="B32:I32" si="2">B33/(SUM($B33:$M33)-$K33-$J33)</f>
        <v>0.26848869489845961</v>
      </c>
      <c r="C32" s="50">
        <f t="shared" si="2"/>
        <v>4.1352067026086146E-2</v>
      </c>
      <c r="D32" s="50">
        <f t="shared" si="2"/>
        <v>5.8232641990946847E-2</v>
      </c>
      <c r="E32" s="50">
        <f t="shared" si="2"/>
        <v>0.49481868331417372</v>
      </c>
      <c r="F32" s="50">
        <f t="shared" si="2"/>
        <v>2.7793905671675688E-2</v>
      </c>
      <c r="G32" s="50">
        <f t="shared" si="2"/>
        <v>2.1167835651828542E-2</v>
      </c>
      <c r="H32" s="50">
        <f t="shared" si="2"/>
        <v>8.7971777498715847E-2</v>
      </c>
      <c r="I32" s="50">
        <f t="shared" si="2"/>
        <v>1.743939481134998E-4</v>
      </c>
      <c r="J32" s="50"/>
      <c r="K32" s="50"/>
      <c r="L32" s="50"/>
      <c r="M32" s="50"/>
      <c r="N32" s="50"/>
      <c r="O32" s="4"/>
      <c r="P32" s="4"/>
      <c r="Q32" s="4"/>
      <c r="R32" s="50"/>
      <c r="S32" s="4"/>
      <c r="T32" s="50"/>
      <c r="U32" s="50"/>
      <c r="V32" s="4"/>
      <c r="W32" s="4"/>
      <c r="X32" s="50"/>
      <c r="Y32" s="50"/>
      <c r="Z32" s="4"/>
      <c r="AA32" s="4"/>
      <c r="AB32" s="4"/>
      <c r="AC32" s="4"/>
      <c r="AD32" s="4"/>
      <c r="AE32" s="4"/>
      <c r="AF32" s="4"/>
    </row>
    <row r="33" spans="1:32" ht="15">
      <c r="A33" s="63" t="s">
        <v>255</v>
      </c>
      <c r="B33" s="50">
        <f t="shared" ref="B33:J33" si="3">B35/(SUM($B35:$M35)-$K35)</f>
        <v>0.26640174445439341</v>
      </c>
      <c r="C33" s="50">
        <f t="shared" si="3"/>
        <v>4.1030639285242969E-2</v>
      </c>
      <c r="D33" s="50">
        <f t="shared" si="3"/>
        <v>5.7780002306776476E-2</v>
      </c>
      <c r="E33" s="50">
        <f t="shared" si="3"/>
        <v>0.49097248013878375</v>
      </c>
      <c r="F33" s="50">
        <f t="shared" si="3"/>
        <v>2.7577864903904164E-2</v>
      </c>
      <c r="G33" s="50">
        <f t="shared" si="3"/>
        <v>2.1003299025695324E-2</v>
      </c>
      <c r="H33" s="50">
        <f t="shared" si="3"/>
        <v>8.7287976863513417E-2</v>
      </c>
      <c r="I33" s="50">
        <f t="shared" si="3"/>
        <v>1.730383918670978E-4</v>
      </c>
      <c r="J33" s="50">
        <f t="shared" si="3"/>
        <v>7.7729546298235487E-3</v>
      </c>
      <c r="K33" s="50"/>
      <c r="L33" s="50"/>
      <c r="M33" s="50"/>
      <c r="N33" s="50"/>
      <c r="O33" s="4"/>
      <c r="P33" s="4"/>
      <c r="Q33" s="4"/>
      <c r="R33" s="50"/>
      <c r="S33" s="4"/>
      <c r="T33" s="50"/>
      <c r="U33" s="50"/>
      <c r="V33" s="4"/>
      <c r="W33" s="4"/>
      <c r="X33" s="50"/>
      <c r="Y33" s="50"/>
      <c r="Z33" s="4"/>
      <c r="AA33" s="4"/>
      <c r="AB33" s="4"/>
      <c r="AC33" s="4"/>
      <c r="AD33" s="4"/>
      <c r="AE33" s="4"/>
      <c r="AF33" s="4"/>
    </row>
    <row r="34" spans="1:32" ht="15">
      <c r="A34" s="63"/>
      <c r="B34" s="50"/>
      <c r="C34" s="50"/>
      <c r="D34" s="50"/>
      <c r="E34" s="50"/>
      <c r="F34" s="50"/>
      <c r="G34" s="50"/>
      <c r="H34" s="50"/>
      <c r="I34" s="50"/>
      <c r="J34" s="50"/>
      <c r="K34" s="50"/>
      <c r="L34" s="50"/>
      <c r="M34" s="50"/>
      <c r="N34" s="50"/>
      <c r="O34" s="4"/>
      <c r="P34" s="4"/>
      <c r="Q34" s="4"/>
      <c r="R34" s="50"/>
      <c r="S34" s="4"/>
      <c r="T34" s="50"/>
      <c r="U34" s="50"/>
      <c r="V34" s="4"/>
      <c r="W34" s="4"/>
      <c r="X34" s="50"/>
      <c r="Y34" s="50"/>
      <c r="Z34" s="4"/>
      <c r="AA34" s="4"/>
      <c r="AB34" s="4"/>
      <c r="AC34" s="4"/>
      <c r="AD34" s="4"/>
      <c r="AE34" s="4"/>
      <c r="AF34" s="4"/>
    </row>
    <row r="35" spans="1:32" ht="15">
      <c r="A35" s="63" t="s">
        <v>257</v>
      </c>
      <c r="B35" s="50">
        <f t="shared" ref="B35:K35" si="4">B8/SUM($B8:$AF8)</f>
        <v>0.26580991305060264</v>
      </c>
      <c r="C35" s="50">
        <f t="shared" si="4"/>
        <v>4.0939486650727185E-2</v>
      </c>
      <c r="D35" s="50">
        <f t="shared" si="4"/>
        <v>5.7651639709353213E-2</v>
      </c>
      <c r="E35" s="50">
        <f t="shared" si="4"/>
        <v>0.48988174804640089</v>
      </c>
      <c r="F35" s="50">
        <f t="shared" si="4"/>
        <v>2.7516598614026604E-2</v>
      </c>
      <c r="G35" s="50">
        <f t="shared" si="4"/>
        <v>2.0956638625734082E-2</v>
      </c>
      <c r="H35" s="50">
        <f t="shared" si="4"/>
        <v>8.7094060093234782E-2</v>
      </c>
      <c r="I35" s="50">
        <f t="shared" si="4"/>
        <v>1.7265397413523143E-4</v>
      </c>
      <c r="J35" s="50">
        <f t="shared" si="4"/>
        <v>7.7556864296486876E-3</v>
      </c>
      <c r="K35" s="50">
        <f t="shared" si="4"/>
        <v>2.2215748061366371E-3</v>
      </c>
      <c r="L35" s="50"/>
      <c r="M35" s="50"/>
      <c r="N35" s="50"/>
      <c r="O35" s="4"/>
      <c r="P35" s="4"/>
      <c r="Q35" s="4"/>
      <c r="R35" s="50"/>
      <c r="S35" s="4"/>
      <c r="T35" s="50"/>
      <c r="U35" s="50"/>
      <c r="V35" s="4"/>
      <c r="W35" s="4"/>
      <c r="X35" s="50"/>
      <c r="Y35" s="50"/>
      <c r="Z35" s="4"/>
      <c r="AA35" s="4"/>
      <c r="AB35" s="4"/>
      <c r="AC35" s="4"/>
      <c r="AD35" s="4"/>
      <c r="AE35" s="4"/>
      <c r="AF35" s="4"/>
    </row>
    <row r="36" spans="1:32" ht="15">
      <c r="A36" s="62">
        <v>1896</v>
      </c>
      <c r="B36" s="4"/>
      <c r="C36" s="4"/>
      <c r="D36" s="4"/>
      <c r="E36" s="4"/>
      <c r="F36" s="4"/>
      <c r="G36" s="4"/>
      <c r="H36" s="4"/>
      <c r="I36" s="50"/>
      <c r="J36" s="4"/>
      <c r="K36" s="4"/>
      <c r="L36" s="4"/>
      <c r="M36" s="4"/>
      <c r="N36" s="4"/>
      <c r="O36" s="4"/>
      <c r="P36" s="4"/>
      <c r="Q36" s="4"/>
      <c r="R36" s="4"/>
      <c r="S36" s="4"/>
      <c r="T36" s="4"/>
      <c r="U36" s="4"/>
      <c r="V36" s="4"/>
      <c r="W36" s="4"/>
      <c r="X36" s="4"/>
      <c r="Y36" s="4"/>
      <c r="Z36" s="4"/>
      <c r="AA36" s="4"/>
      <c r="AB36" s="4"/>
      <c r="AC36" s="4"/>
      <c r="AD36" s="4"/>
      <c r="AE36" s="4"/>
      <c r="AF36" s="4"/>
    </row>
    <row r="37" spans="1:32" ht="15">
      <c r="A37" s="63" t="s">
        <v>265</v>
      </c>
      <c r="B37" s="50">
        <f t="shared" ref="B37:K37" si="5">B38/(SUM($B38:$M38)-$M38-$L38)</f>
        <v>6.2284664411701114E-2</v>
      </c>
      <c r="C37" s="50">
        <f t="shared" si="5"/>
        <v>5.0735964496500474E-2</v>
      </c>
      <c r="D37" s="50">
        <f t="shared" si="5"/>
        <v>2.9473172444825783E-2</v>
      </c>
      <c r="E37" s="50">
        <f t="shared" si="5"/>
        <v>0.37736056116317218</v>
      </c>
      <c r="F37" s="50">
        <f t="shared" si="5"/>
        <v>2.6669241814595915E-2</v>
      </c>
      <c r="G37" s="50">
        <f t="shared" si="5"/>
        <v>9.6769038569901517E-2</v>
      </c>
      <c r="H37" s="50">
        <f t="shared" si="5"/>
        <v>4.8764917639428432E-2</v>
      </c>
      <c r="I37" s="50">
        <f t="shared" si="5"/>
        <v>0.12838408940429027</v>
      </c>
      <c r="J37" s="50">
        <f t="shared" si="5"/>
        <v>0.16005005347891529</v>
      </c>
      <c r="K37" s="50">
        <f t="shared" si="5"/>
        <v>1.9508296576668978E-2</v>
      </c>
      <c r="L37" s="50"/>
      <c r="M37" s="50"/>
      <c r="N37" s="50"/>
      <c r="O37" s="4"/>
      <c r="P37" s="4"/>
      <c r="Q37" s="4"/>
      <c r="R37" s="50"/>
      <c r="S37" s="4"/>
      <c r="T37" s="50"/>
      <c r="U37" s="50"/>
      <c r="V37" s="4"/>
      <c r="W37" s="4"/>
      <c r="X37" s="50"/>
      <c r="Y37" s="50"/>
      <c r="Z37" s="4"/>
      <c r="AA37" s="4"/>
      <c r="AB37" s="4"/>
      <c r="AC37" s="4"/>
      <c r="AD37" s="4"/>
      <c r="AE37" s="4"/>
      <c r="AF37" s="4"/>
    </row>
    <row r="38" spans="1:32" ht="15">
      <c r="A38" s="63" t="s">
        <v>256</v>
      </c>
      <c r="B38" s="50">
        <f t="shared" ref="B38:L38" si="6">B39/(SUM($B39:$M39)-$M39)</f>
        <v>5.8285909936564011E-2</v>
      </c>
      <c r="C38" s="50">
        <f t="shared" si="6"/>
        <v>4.7478651207634712E-2</v>
      </c>
      <c r="D38" s="50">
        <f t="shared" si="6"/>
        <v>2.7580957381560647E-2</v>
      </c>
      <c r="E38" s="50">
        <f t="shared" si="6"/>
        <v>0.35313353438307765</v>
      </c>
      <c r="F38" s="50">
        <f t="shared" si="6"/>
        <v>2.4957042655109164E-2</v>
      </c>
      <c r="G38" s="50">
        <f t="shared" si="6"/>
        <v>9.0556343523841135E-2</v>
      </c>
      <c r="H38" s="50">
        <f t="shared" si="6"/>
        <v>4.563414805943334E-2</v>
      </c>
      <c r="I38" s="50">
        <f t="shared" si="6"/>
        <v>0.12014166798497598</v>
      </c>
      <c r="J38" s="50">
        <f t="shared" si="6"/>
        <v>0.14977463699173083</v>
      </c>
      <c r="K38" s="50">
        <f t="shared" si="6"/>
        <v>1.8255839186473874E-2</v>
      </c>
      <c r="L38" s="50">
        <f t="shared" si="6"/>
        <v>6.420126868959837E-2</v>
      </c>
      <c r="M38" s="50"/>
      <c r="N38" s="50"/>
      <c r="O38" s="4"/>
      <c r="P38" s="4"/>
      <c r="Q38" s="4"/>
      <c r="R38" s="50"/>
      <c r="S38" s="4"/>
      <c r="T38" s="50"/>
      <c r="U38" s="50"/>
      <c r="V38" s="4"/>
      <c r="W38" s="4"/>
      <c r="X38" s="50"/>
      <c r="Y38" s="50"/>
      <c r="Z38" s="4"/>
      <c r="AA38" s="4"/>
      <c r="AB38" s="4"/>
      <c r="AC38" s="4"/>
      <c r="AD38" s="4"/>
      <c r="AE38" s="4"/>
      <c r="AF38" s="4"/>
    </row>
    <row r="39" spans="1:32" ht="15">
      <c r="A39" s="63" t="s">
        <v>253</v>
      </c>
      <c r="B39" s="50">
        <f t="shared" ref="B39:M39" si="7">B9/SUM($B9:$AF9)</f>
        <v>5.7877112804263275E-2</v>
      </c>
      <c r="C39" s="50">
        <f t="shared" si="7"/>
        <v>4.7145652435198769E-2</v>
      </c>
      <c r="D39" s="50">
        <f t="shared" si="7"/>
        <v>2.7387514124074197E-2</v>
      </c>
      <c r="E39" s="50">
        <f t="shared" si="7"/>
        <v>0.35065677839981962</v>
      </c>
      <c r="F39" s="50">
        <f t="shared" si="7"/>
        <v>2.4782002624350107E-2</v>
      </c>
      <c r="G39" s="50">
        <f t="shared" si="7"/>
        <v>8.9921212776384735E-2</v>
      </c>
      <c r="H39" s="50">
        <f t="shared" si="7"/>
        <v>4.5314085991568449E-2</v>
      </c>
      <c r="I39" s="50">
        <f t="shared" si="7"/>
        <v>0.11929903604536077</v>
      </c>
      <c r="J39" s="50">
        <f t="shared" si="7"/>
        <v>0.14872416969765856</v>
      </c>
      <c r="K39" s="50">
        <f t="shared" si="7"/>
        <v>1.8127799069826537E-2</v>
      </c>
      <c r="L39" s="50">
        <f t="shared" si="7"/>
        <v>6.3750983285133705E-2</v>
      </c>
      <c r="M39" s="50">
        <f t="shared" si="7"/>
        <v>7.0136527463612432E-3</v>
      </c>
      <c r="N39" s="50"/>
      <c r="O39" s="4"/>
      <c r="P39" s="4"/>
      <c r="Q39" s="4"/>
      <c r="R39" s="50"/>
      <c r="S39" s="4"/>
      <c r="T39" s="50"/>
      <c r="U39" s="50"/>
      <c r="V39" s="4"/>
      <c r="W39" s="4"/>
      <c r="X39" s="50"/>
      <c r="Y39" s="50"/>
      <c r="Z39" s="4"/>
      <c r="AA39" s="4"/>
      <c r="AB39" s="4"/>
      <c r="AC39" s="4"/>
      <c r="AD39" s="4"/>
      <c r="AE39" s="4"/>
      <c r="AF39" s="4"/>
    </row>
    <row r="40" spans="1:32" ht="15">
      <c r="A40" s="62">
        <v>1910</v>
      </c>
      <c r="B40" s="50"/>
      <c r="C40" s="50"/>
      <c r="D40" s="50"/>
      <c r="E40" s="50"/>
      <c r="F40" s="50"/>
      <c r="G40" s="50"/>
      <c r="H40" s="50"/>
      <c r="I40" s="50"/>
      <c r="J40" s="50"/>
      <c r="K40" s="50"/>
      <c r="L40" s="50"/>
      <c r="M40" s="50"/>
      <c r="N40" s="50"/>
      <c r="O40" s="4"/>
      <c r="P40" s="4"/>
      <c r="Q40" s="4"/>
      <c r="R40" s="50"/>
      <c r="S40" s="4"/>
      <c r="T40" s="50"/>
      <c r="U40" s="50"/>
      <c r="V40" s="4"/>
      <c r="W40" s="4"/>
      <c r="X40" s="50"/>
      <c r="Y40" s="50"/>
      <c r="Z40" s="4"/>
      <c r="AA40" s="4"/>
      <c r="AB40" s="4"/>
      <c r="AC40" s="4"/>
      <c r="AD40" s="4"/>
      <c r="AE40" s="4"/>
      <c r="AF40" s="4"/>
    </row>
    <row r="41" spans="1:32" ht="15">
      <c r="A41" s="63" t="s">
        <v>266</v>
      </c>
      <c r="B41" s="50">
        <f>B42/(SUM($B42:$M42)+SUM($O42:$Y42))</f>
        <v>3.8197129416330591E-2</v>
      </c>
      <c r="C41" s="50">
        <f>C42/(SUM($B42:$M42)+SUM($O42:$Y42))</f>
        <v>4.7068501952400428E-2</v>
      </c>
      <c r="D41" s="50">
        <f>D42/(SUM($B42:$M42)+SUM($O42:$Y42))</f>
        <v>2.8680255401030952E-3</v>
      </c>
      <c r="E41" s="50">
        <f>E42/(SUM($B42:$M42)+SUM($O42:$Y42))</f>
        <v>0.16338183550008653</v>
      </c>
      <c r="F41" s="50">
        <f>F42/(SUM($B42:$M42)+SUM($O42:$Y42))</f>
        <v>2.932697569810756E-2</v>
      </c>
      <c r="G41" s="78">
        <f>(G42+SUM(O42:Y42))/(SUM($B42:$M42)+SUM(O42:Y42))</f>
        <v>0.18558387137177257</v>
      </c>
      <c r="H41" s="50">
        <f t="shared" ref="H41:M41" si="8">H42/(SUM($B42:$M42)+SUM($O42:$Y42))</f>
        <v>2.4593345381713299E-2</v>
      </c>
      <c r="I41" s="50">
        <f t="shared" si="8"/>
        <v>0.20045877691928918</v>
      </c>
      <c r="J41" s="50">
        <f t="shared" si="8"/>
        <v>0.16730511020033181</v>
      </c>
      <c r="K41" s="50">
        <f t="shared" si="8"/>
        <v>1.3734986027752616E-2</v>
      </c>
      <c r="L41" s="50">
        <f t="shared" si="8"/>
        <v>0.12383743205441017</v>
      </c>
      <c r="M41" s="50">
        <f t="shared" si="8"/>
        <v>3.6440099377021105E-3</v>
      </c>
      <c r="N41" s="50"/>
      <c r="O41" s="4"/>
      <c r="P41" s="4"/>
      <c r="Q41" s="4"/>
      <c r="R41" s="50"/>
      <c r="S41" s="4"/>
      <c r="T41" s="50"/>
      <c r="U41" s="50"/>
      <c r="V41" s="4"/>
      <c r="W41" s="4"/>
      <c r="X41" s="50"/>
      <c r="Y41" s="50"/>
      <c r="Z41" s="4"/>
      <c r="AA41" s="4"/>
      <c r="AB41" s="4"/>
      <c r="AC41" s="4"/>
      <c r="AD41" s="4"/>
      <c r="AE41" s="4"/>
      <c r="AF41" s="4"/>
    </row>
    <row r="42" spans="1:32" ht="15">
      <c r="A42" s="63" t="s">
        <v>267</v>
      </c>
      <c r="B42" s="50">
        <f t="shared" ref="B42:X42" si="9">B10/SUM($B10:$AF10)</f>
        <v>3.8183181270742883E-2</v>
      </c>
      <c r="C42" s="50">
        <f t="shared" si="9"/>
        <v>4.7051314317416874E-2</v>
      </c>
      <c r="D42" s="50">
        <f t="shared" si="9"/>
        <v>2.8669782457541771E-3</v>
      </c>
      <c r="E42" s="50">
        <f t="shared" si="9"/>
        <v>0.16332217463910653</v>
      </c>
      <c r="F42" s="50">
        <f t="shared" si="9"/>
        <v>2.931626659684956E-2</v>
      </c>
      <c r="G42" s="50">
        <f t="shared" si="9"/>
        <v>1.2952532132632416E-2</v>
      </c>
      <c r="H42" s="50">
        <f t="shared" si="9"/>
        <v>2.4584364823040054E-2</v>
      </c>
      <c r="I42" s="50">
        <f t="shared" si="9"/>
        <v>0.20038557696296971</v>
      </c>
      <c r="J42" s="50">
        <f t="shared" si="9"/>
        <v>0.16724401670795946</v>
      </c>
      <c r="K42" s="50">
        <f t="shared" si="9"/>
        <v>1.3729970530837333E-2</v>
      </c>
      <c r="L42" s="50">
        <f t="shared" si="9"/>
        <v>0.12379221131248802</v>
      </c>
      <c r="M42" s="50">
        <f t="shared" si="9"/>
        <v>3.6426792832285732E-3</v>
      </c>
      <c r="N42" s="50">
        <f t="shared" si="9"/>
        <v>3.6516214178511553E-4</v>
      </c>
      <c r="O42" s="50">
        <f t="shared" si="9"/>
        <v>3.279726309401116E-3</v>
      </c>
      <c r="P42" s="50">
        <f t="shared" si="9"/>
        <v>5.9015646212808521E-3</v>
      </c>
      <c r="Q42" s="50">
        <f t="shared" si="9"/>
        <v>9.5297788499926969E-2</v>
      </c>
      <c r="R42" s="50">
        <f t="shared" si="9"/>
        <v>1.2549469993824959E-2</v>
      </c>
      <c r="S42" s="50">
        <f t="shared" si="9"/>
        <v>5.0294955699951814E-3</v>
      </c>
      <c r="T42" s="50">
        <f t="shared" si="9"/>
        <v>2.259838666184761E-2</v>
      </c>
      <c r="U42" s="50">
        <f t="shared" si="9"/>
        <v>2.7853278420929818E-5</v>
      </c>
      <c r="V42" s="50">
        <f t="shared" si="9"/>
        <v>1.5554179870527271E-2</v>
      </c>
      <c r="W42" s="50">
        <f t="shared" si="9"/>
        <v>1.229295673043986E-2</v>
      </c>
      <c r="X42" s="50">
        <f t="shared" si="9"/>
        <v>3.2149499524516836E-5</v>
      </c>
      <c r="Y42" s="50"/>
      <c r="Z42" s="50"/>
      <c r="AA42" s="50"/>
      <c r="AB42" s="50"/>
      <c r="AC42" s="50"/>
      <c r="AD42" s="50"/>
      <c r="AE42" s="50"/>
      <c r="AF42" s="50"/>
    </row>
    <row r="43" spans="1:32" ht="15">
      <c r="A43" s="63" t="s">
        <v>268</v>
      </c>
      <c r="B43" s="50">
        <f>B42/(SUM($B42:$AF42)-$D42-$M42-$G42)</f>
        <v>3.8941059557474698E-2</v>
      </c>
      <c r="C43" s="50">
        <f>C42/(SUM($B42:$AF42)-$D42-$M42-$G42)</f>
        <v>4.798521160665839E-2</v>
      </c>
      <c r="D43" s="50"/>
      <c r="E43" s="50">
        <f>E42/(SUM($B42:$AF42)-$D42-$M42-$G42)</f>
        <v>0.16656387231283187</v>
      </c>
      <c r="F43" s="50">
        <f>F42/(SUM($B42:$AF42)-$D42-$M42-$G42)</f>
        <v>2.9898150063925096E-2</v>
      </c>
      <c r="G43" s="50"/>
      <c r="H43" s="50">
        <f>H42/(SUM($B42:$AF42)-$D42-$M42-$G42)</f>
        <v>2.5072327210468256E-2</v>
      </c>
      <c r="I43" s="50">
        <f>I42/(SUM($B42:$AF42)-$D42-$M42-$G42)</f>
        <v>0.20436292700820619</v>
      </c>
      <c r="J43" s="50">
        <f>J42/(SUM($B42:$AF42)-$D42-$M42-$G42)</f>
        <v>0.17056355700372564</v>
      </c>
      <c r="K43" s="50">
        <f>K42/(SUM($B42:$AF42)-$D42-$M42-$G42)</f>
        <v>1.4002489639944736E-2</v>
      </c>
      <c r="L43" s="50">
        <f>L42/(SUM($B42:$AF42)-$D42-$M42-$G42)</f>
        <v>0.12624929911654009</v>
      </c>
      <c r="M43" s="50"/>
      <c r="N43" s="50">
        <f t="shared" ref="N43:X43" si="10">N42/(SUM($B42:$AF42)-$D42-$M42-$G42)</f>
        <v>3.7241005694527737E-4</v>
      </c>
      <c r="O43" s="50">
        <f t="shared" si="10"/>
        <v>3.3448239066571819E-3</v>
      </c>
      <c r="P43" s="50">
        <f t="shared" si="10"/>
        <v>6.0187017359832496E-3</v>
      </c>
      <c r="Q43" s="50">
        <f t="shared" si="10"/>
        <v>9.7189305190627545E-2</v>
      </c>
      <c r="R43" s="50">
        <f t="shared" si="10"/>
        <v>1.2798557956162974E-2</v>
      </c>
      <c r="S43" s="50">
        <f t="shared" si="10"/>
        <v>5.1293234355332968E-3</v>
      </c>
      <c r="T43" s="50">
        <f t="shared" si="10"/>
        <v>2.3046930392259808E-2</v>
      </c>
      <c r="U43" s="50">
        <f t="shared" si="10"/>
        <v>2.8406123789675801E-5</v>
      </c>
      <c r="V43" s="50">
        <f t="shared" si="10"/>
        <v>1.5862906770682816E-2</v>
      </c>
      <c r="W43" s="50">
        <f t="shared" si="10"/>
        <v>1.2536953293211145E-2</v>
      </c>
      <c r="X43" s="50">
        <f t="shared" si="10"/>
        <v>3.2787618371821884E-5</v>
      </c>
      <c r="Y43" s="50"/>
      <c r="Z43" s="50"/>
      <c r="AA43" s="50"/>
      <c r="AB43" s="50"/>
      <c r="AC43" s="50"/>
      <c r="AD43" s="50"/>
      <c r="AE43" s="50"/>
      <c r="AF43" s="50"/>
    </row>
    <row r="44" spans="1:32" ht="15">
      <c r="A44" s="61">
        <v>1925</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5">
      <c r="A45" s="63" t="s">
        <v>267</v>
      </c>
      <c r="B45" s="50">
        <f>B46/(SUM($B46:$AF46)-$AF46-$AE46-$AB46-$AD46-$AC46-$AA46-$Z46-$Y46)</f>
        <v>1.9749514943606404E-2</v>
      </c>
      <c r="C45" s="50">
        <f>C46/(SUM($B46:$AF46)-$AF46-$AE46-$AB46-$AD46-$AC46-$AA46-$Z46-$Y46)</f>
        <v>7.2663855322976145E-2</v>
      </c>
      <c r="D45" s="50"/>
      <c r="E45" s="50">
        <f>E46/(SUM($B46:$AF46)-$AF46-$AE46-$AB46-$AD46-$AC46-$AA46-$Z46-$Y46)</f>
        <v>9.1364600978631041E-2</v>
      </c>
      <c r="F45" s="50">
        <f>F46/(SUM($B46:$AF46)-$AF46-$AE46-$AB46-$AD46-$AC46-$AA46-$Z46-$Y46)</f>
        <v>0</v>
      </c>
      <c r="G45" s="50"/>
      <c r="H45" s="50">
        <f>H46/(SUM($B46:$AF46)-$AF46-$AE46-$AB46-$AD46-$AC46-$AA46-$Z46-$Y46)</f>
        <v>6.813281303386245E-3</v>
      </c>
      <c r="I45" s="50">
        <f>I46/(SUM($B46:$AF46)-$AF46-$AE46-$AB46-$AD46-$AC46-$AA46-$Z46-$Y46)</f>
        <v>0.25519993811491615</v>
      </c>
      <c r="J45" s="50">
        <f>J46/(SUM($B46:$AF46)-$AF46-$AE46-$AB46-$AD46-$AC46-$AA46-$Z46-$Y46)</f>
        <v>0.15433297944695504</v>
      </c>
      <c r="K45" s="50">
        <f>K46/(SUM($B46:$AF46)-$AF46-$AE46-$AB46-$AD46-$AC46-$AA46-$Z46-$Y46)</f>
        <v>1.6792144784575202E-2</v>
      </c>
      <c r="L45" s="50">
        <f>L46/(SUM($B46:$AF46)-$AF46-$AE46-$AB46-$AD46-$AC46-$AA46-$Z46-$Y46)</f>
        <v>0.11579760679376702</v>
      </c>
      <c r="M45" s="50"/>
      <c r="N45" s="50">
        <f t="shared" ref="N45:X45" si="11">N46/(SUM($B46:$AF46)-$AF46-$AE46-$AB46-$AD46-$AC46-$AA46-$Z46-$Y46)</f>
        <v>3.866579382786694E-3</v>
      </c>
      <c r="O45" s="50">
        <f t="shared" si="11"/>
        <v>9.2801484740291401E-2</v>
      </c>
      <c r="P45" s="50">
        <f t="shared" si="11"/>
        <v>2.1971951233338918E-2</v>
      </c>
      <c r="Q45" s="50">
        <f t="shared" si="11"/>
        <v>6.318722019284384E-2</v>
      </c>
      <c r="R45" s="50">
        <f t="shared" si="11"/>
        <v>7.8957919348093542E-3</v>
      </c>
      <c r="S45" s="50">
        <f t="shared" si="11"/>
        <v>2.7270132742742276E-2</v>
      </c>
      <c r="T45" s="50">
        <f t="shared" si="11"/>
        <v>2.2212694137839922E-2</v>
      </c>
      <c r="U45" s="50">
        <f t="shared" si="11"/>
        <v>1.6724513281751562E-5</v>
      </c>
      <c r="V45" s="50">
        <f t="shared" si="11"/>
        <v>3.6367757742139209E-3</v>
      </c>
      <c r="W45" s="50">
        <f t="shared" si="11"/>
        <v>2.3982908198495526E-2</v>
      </c>
      <c r="X45" s="50">
        <f t="shared" si="11"/>
        <v>4.4381546054320927E-4</v>
      </c>
      <c r="Y45" s="50"/>
      <c r="Z45" s="50"/>
      <c r="AA45" s="50"/>
      <c r="AB45" s="50"/>
      <c r="AC45" s="50"/>
      <c r="AD45" s="50"/>
      <c r="AE45" s="50"/>
      <c r="AF45" s="50"/>
    </row>
    <row r="46" spans="1:32" ht="15">
      <c r="A46" s="63" t="s">
        <v>84</v>
      </c>
      <c r="B46" s="50">
        <f>B47/(SUM($B47:$AF47)-$AF47-$AE47-$AB47-$AD47-$AC47-$AA47)</f>
        <v>1.9569534543014928E-2</v>
      </c>
      <c r="C46" s="50">
        <f>C47/(SUM($B47:$AF47)-$AF47-$AE47-$AB47-$AD47-$AC47-$AA47)</f>
        <v>7.2001658310700462E-2</v>
      </c>
      <c r="D46" s="50"/>
      <c r="E46" s="50">
        <f>E47/(SUM($B47:$AF47)-$AF47-$AE47-$AB47-$AD47-$AC47-$AA47)</f>
        <v>9.0531981163361211E-2</v>
      </c>
      <c r="F46" s="50">
        <f>F47/(SUM($B47:$AF47)-$AF47-$AE47-$AB47-$AD47-$AC47-$AA47)</f>
        <v>0</v>
      </c>
      <c r="G46" s="50"/>
      <c r="H46" s="50">
        <f>H47/(SUM($B47:$AF47)-$AF47-$AE47-$AB47-$AD47-$AC47-$AA47)</f>
        <v>6.7511908114512593E-3</v>
      </c>
      <c r="I46" s="50">
        <f>I47/(SUM($B47:$AF47)-$AF47-$AE47-$AB47-$AD47-$AC47-$AA47)</f>
        <v>0.25287426139708302</v>
      </c>
      <c r="J46" s="50">
        <f>J47/(SUM($B47:$AF47)-$AF47-$AE47-$AB47-$AD47-$AC47-$AA47)</f>
        <v>0.15292651900756429</v>
      </c>
      <c r="K46" s="50">
        <f>K47/(SUM($B47:$AF47)-$AF47-$AE47-$AB47-$AD47-$AC47-$AA47)</f>
        <v>1.6639115358093197E-2</v>
      </c>
      <c r="L46" s="50">
        <f>L47/(SUM($B47:$AF47)-$AF47-$AE47-$AB47-$AD47-$AC47-$AA47)</f>
        <v>0.11474232519734365</v>
      </c>
      <c r="M46" s="50"/>
      <c r="N46" s="50">
        <f t="shared" ref="N46:Z46" si="12">N47/(SUM($B47:$AF47)-$AF47-$AE47-$AB47-$AD47-$AC47-$AA47)</f>
        <v>3.8313426436455142E-3</v>
      </c>
      <c r="O46" s="50">
        <f t="shared" si="12"/>
        <v>9.1955770379876262E-2</v>
      </c>
      <c r="P46" s="50">
        <f t="shared" si="12"/>
        <v>2.177171742526593E-2</v>
      </c>
      <c r="Q46" s="50">
        <f t="shared" si="12"/>
        <v>6.2611385230059019E-2</v>
      </c>
      <c r="R46" s="50">
        <f t="shared" si="12"/>
        <v>7.8238363551674361E-3</v>
      </c>
      <c r="S46" s="50">
        <f t="shared" si="12"/>
        <v>2.7021615782744209E-2</v>
      </c>
      <c r="T46" s="50">
        <f t="shared" si="12"/>
        <v>2.2010266402244391E-2</v>
      </c>
      <c r="U46" s="50">
        <f t="shared" si="12"/>
        <v>1.657210019167101E-5</v>
      </c>
      <c r="V46" s="50">
        <f t="shared" si="12"/>
        <v>3.6036332710905066E-3</v>
      </c>
      <c r="W46" s="50">
        <f t="shared" si="12"/>
        <v>2.376434822690943E-2</v>
      </c>
      <c r="X46" s="50">
        <f t="shared" si="12"/>
        <v>4.3977090124110266E-4</v>
      </c>
      <c r="Y46" s="50">
        <f t="shared" si="12"/>
        <v>4.8994617012681849E-3</v>
      </c>
      <c r="Z46" s="50">
        <f t="shared" si="12"/>
        <v>4.2136937916841732E-3</v>
      </c>
      <c r="AA46" s="50"/>
      <c r="AB46" s="50"/>
      <c r="AC46" s="50"/>
      <c r="AD46" s="50"/>
      <c r="AE46" s="50"/>
      <c r="AF46" s="50"/>
    </row>
    <row r="47" spans="1:32" ht="15">
      <c r="A47" s="63" t="s">
        <v>85</v>
      </c>
      <c r="B47" s="50">
        <f>B48/(SUM($B48:$AF48)-$AF48)</f>
        <v>1.8708427940214028E-2</v>
      </c>
      <c r="C47" s="50">
        <f>C48/(SUM($B48:$AF48)-$AF48)</f>
        <v>6.8833412114160816E-2</v>
      </c>
      <c r="D47" s="50"/>
      <c r="E47" s="50">
        <f>E48/(SUM($B48:$AF48)-$AF48)</f>
        <v>8.6548356178665659E-2</v>
      </c>
      <c r="F47" s="50">
        <f>F48/(SUM($B48:$AF48)-$AF48)</f>
        <v>0</v>
      </c>
      <c r="G47" s="50"/>
      <c r="H47" s="50">
        <f>H48/(SUM($B48:$AF48)-$AF48)</f>
        <v>6.4541221728624852E-3</v>
      </c>
      <c r="I47" s="50">
        <f>I48/(SUM($B48:$AF48)-$AF48)</f>
        <v>0.24174718549812396</v>
      </c>
      <c r="J47" s="50">
        <f>J48/(SUM($B48:$AF48)-$AF48)</f>
        <v>0.14619738424090353</v>
      </c>
      <c r="K47" s="50">
        <f>K48/(SUM($B48:$AF48)-$AF48)</f>
        <v>1.590695424980899E-2</v>
      </c>
      <c r="L47" s="50">
        <f>L48/(SUM($B48:$AF48)-$AF48)</f>
        <v>0.10969338682678707</v>
      </c>
      <c r="M47" s="50"/>
      <c r="N47" s="50">
        <f t="shared" ref="N47:AE47" si="13">N48/(SUM($B48:$AF48)-$AF48)</f>
        <v>3.6627543493872126E-3</v>
      </c>
      <c r="O47" s="50">
        <f t="shared" si="13"/>
        <v>8.7909495244118466E-2</v>
      </c>
      <c r="P47" s="50">
        <f t="shared" si="13"/>
        <v>2.08137094773506E-2</v>
      </c>
      <c r="Q47" s="50">
        <f t="shared" si="13"/>
        <v>5.9856333641396746E-2</v>
      </c>
      <c r="R47" s="50">
        <f t="shared" si="13"/>
        <v>7.4795687319462638E-3</v>
      </c>
      <c r="S47" s="50">
        <f t="shared" si="13"/>
        <v>2.5832599676217784E-2</v>
      </c>
      <c r="T47" s="50">
        <f t="shared" si="13"/>
        <v>2.1041761725410137E-2</v>
      </c>
      <c r="U47" s="50">
        <f t="shared" si="13"/>
        <v>1.5842887911943103E-5</v>
      </c>
      <c r="V47" s="50">
        <f t="shared" si="13"/>
        <v>3.44506473707718E-3</v>
      </c>
      <c r="W47" s="50">
        <f t="shared" si="13"/>
        <v>2.2718659729593804E-2</v>
      </c>
      <c r="X47" s="50">
        <f t="shared" si="13"/>
        <v>4.2041992352898414E-4</v>
      </c>
      <c r="Y47" s="50">
        <f t="shared" si="13"/>
        <v>4.6838735986560022E-3</v>
      </c>
      <c r="Z47" s="50">
        <f t="shared" si="13"/>
        <v>4.028281127002503E-3</v>
      </c>
      <c r="AA47" s="50">
        <f t="shared" si="13"/>
        <v>2.6934816336391033E-2</v>
      </c>
      <c r="AB47" s="50">
        <f t="shared" si="13"/>
        <v>3.8407618510116312E-3</v>
      </c>
      <c r="AC47" s="50">
        <f t="shared" si="13"/>
        <v>3.9274666398177093E-3</v>
      </c>
      <c r="AD47" s="50">
        <f t="shared" si="13"/>
        <v>5.6512085908845726E-3</v>
      </c>
      <c r="AE47" s="50">
        <f t="shared" si="13"/>
        <v>3.6481525107706675E-3</v>
      </c>
      <c r="AF47" s="50"/>
    </row>
    <row r="48" spans="1:32" ht="15">
      <c r="A48" s="34" t="s">
        <v>86</v>
      </c>
      <c r="B48" s="50">
        <f>B11/SUM($B11:$AF11)</f>
        <v>1.8576094033805599E-2</v>
      </c>
      <c r="C48" s="50">
        <f>C11/SUM($B11:$AF11)</f>
        <v>6.8346519557202126E-2</v>
      </c>
      <c r="D48" s="50"/>
      <c r="E48" s="50">
        <f>E11/SUM($B11:$AF11)</f>
        <v>8.5936157115069717E-2</v>
      </c>
      <c r="F48" s="50">
        <f>F11/SUM($B11:$AF11)</f>
        <v>0</v>
      </c>
      <c r="G48" s="50"/>
      <c r="H48" s="50">
        <f t="shared" ref="H48:L49" si="14">H11/SUM($B11:$AF11)</f>
        <v>6.408468994396524E-3</v>
      </c>
      <c r="I48" s="50">
        <f t="shared" si="14"/>
        <v>0.24003718883125039</v>
      </c>
      <c r="J48" s="50">
        <f t="shared" si="14"/>
        <v>0.14516325828306681</v>
      </c>
      <c r="K48" s="50">
        <f t="shared" si="14"/>
        <v>1.5794436543796257E-2</v>
      </c>
      <c r="L48" s="50">
        <f t="shared" si="14"/>
        <v>0.10891747158514578</v>
      </c>
      <c r="M48" s="50"/>
      <c r="N48" s="50">
        <f t="shared" ref="N48:AF48" si="15">N11/SUM($B11:$AF11)</f>
        <v>3.6368458875529076E-3</v>
      </c>
      <c r="O48" s="50">
        <f t="shared" si="15"/>
        <v>8.7287668174883995E-2</v>
      </c>
      <c r="P48" s="50">
        <f t="shared" si="15"/>
        <v>2.066648387983968E-2</v>
      </c>
      <c r="Q48" s="50">
        <f t="shared" si="15"/>
        <v>5.94329403728995E-2</v>
      </c>
      <c r="R48" s="50">
        <f t="shared" si="15"/>
        <v>7.4266620659392702E-3</v>
      </c>
      <c r="S48" s="50">
        <f t="shared" si="15"/>
        <v>2.5649873001439789E-2</v>
      </c>
      <c r="T48" s="50">
        <f t="shared" si="15"/>
        <v>2.0892923002256199E-2</v>
      </c>
      <c r="U48" s="50">
        <f t="shared" si="15"/>
        <v>1.5730823378628052E-5</v>
      </c>
      <c r="V48" s="50">
        <f t="shared" si="15"/>
        <v>3.4206961008697839E-3</v>
      </c>
      <c r="W48" s="50">
        <f t="shared" si="15"/>
        <v>2.2557959482625504E-2</v>
      </c>
      <c r="X48" s="50">
        <f t="shared" si="15"/>
        <v>4.1744608676459548E-4</v>
      </c>
      <c r="Y48" s="50">
        <f t="shared" si="15"/>
        <v>4.6507422584699505E-3</v>
      </c>
      <c r="Z48" s="50">
        <f t="shared" si="15"/>
        <v>3.9997871146059969E-3</v>
      </c>
      <c r="AA48" s="50">
        <f t="shared" si="15"/>
        <v>2.6744293141412873E-2</v>
      </c>
      <c r="AB48" s="50">
        <f t="shared" si="15"/>
        <v>3.8135942546238914E-3</v>
      </c>
      <c r="AC48" s="50">
        <f t="shared" si="15"/>
        <v>3.8996857378415105E-3</v>
      </c>
      <c r="AD48" s="50">
        <f t="shared" si="15"/>
        <v>5.6112348148329178E-3</v>
      </c>
      <c r="AE48" s="50">
        <f t="shared" si="15"/>
        <v>3.6223473349180093E-3</v>
      </c>
      <c r="AF48" s="50">
        <f t="shared" si="15"/>
        <v>7.073491521111819E-3</v>
      </c>
    </row>
    <row r="49" spans="1:32" ht="15">
      <c r="A49" s="33">
        <v>1938</v>
      </c>
      <c r="B49" s="50">
        <f>B12/SUM($B12:$AF12)</f>
        <v>9.3504605765990824E-3</v>
      </c>
      <c r="C49" s="50">
        <f>C12/SUM($B12:$AF12)</f>
        <v>5.9307668762497608E-2</v>
      </c>
      <c r="D49" s="50"/>
      <c r="E49" s="50">
        <f>E12/SUM($B12:$AF12)</f>
        <v>0.10081689132790608</v>
      </c>
      <c r="F49" s="50">
        <f>F12/SUM($B12:$AF12)</f>
        <v>0</v>
      </c>
      <c r="G49" s="50"/>
      <c r="H49" s="50">
        <f t="shared" si="14"/>
        <v>7.5292675785793624E-3</v>
      </c>
      <c r="I49" s="50">
        <f t="shared" si="14"/>
        <v>0.15063502719126534</v>
      </c>
      <c r="J49" s="50">
        <f t="shared" si="14"/>
        <v>0.14826256976943863</v>
      </c>
      <c r="K49" s="50">
        <f t="shared" si="14"/>
        <v>8.3980094794589011E-3</v>
      </c>
      <c r="L49" s="50">
        <f t="shared" si="14"/>
        <v>0.14883829588474534</v>
      </c>
      <c r="M49" s="50"/>
      <c r="N49" s="50">
        <f t="shared" ref="N49:AF49" si="16">N12/SUM($B12:$AF12)</f>
        <v>1.51020491558036E-2</v>
      </c>
      <c r="O49" s="50">
        <f t="shared" si="16"/>
        <v>0.13656808370423859</v>
      </c>
      <c r="P49" s="50">
        <f t="shared" si="16"/>
        <v>3.6767561192055244E-2</v>
      </c>
      <c r="Q49" s="50">
        <f t="shared" si="16"/>
        <v>2.7350168350382034E-2</v>
      </c>
      <c r="R49" s="50">
        <f t="shared" si="16"/>
        <v>1.3061649163152E-2</v>
      </c>
      <c r="S49" s="50">
        <f t="shared" si="16"/>
        <v>7.3159870143566065E-3</v>
      </c>
      <c r="T49" s="50">
        <f t="shared" si="16"/>
        <v>1.86127116030111E-2</v>
      </c>
      <c r="U49" s="50">
        <f t="shared" si="16"/>
        <v>8.8858750973301863E-4</v>
      </c>
      <c r="V49" s="50">
        <f t="shared" si="16"/>
        <v>3.4249671967877021E-3</v>
      </c>
      <c r="W49" s="50">
        <f t="shared" si="16"/>
        <v>2.8330894586998563E-2</v>
      </c>
      <c r="X49" s="50">
        <f t="shared" si="16"/>
        <v>2.9218888520394544E-4</v>
      </c>
      <c r="Y49" s="50">
        <f t="shared" si="16"/>
        <v>9.9561958955868765E-3</v>
      </c>
      <c r="Z49" s="50">
        <f t="shared" si="16"/>
        <v>1.5518997334136675E-3</v>
      </c>
      <c r="AA49" s="50">
        <f t="shared" si="16"/>
        <v>2.7769671893511986E-2</v>
      </c>
      <c r="AB49" s="50">
        <f t="shared" si="16"/>
        <v>2.9231618679572565E-3</v>
      </c>
      <c r="AC49" s="50">
        <f t="shared" si="16"/>
        <v>2.115632993483006E-3</v>
      </c>
      <c r="AD49" s="50">
        <f t="shared" si="16"/>
        <v>9.3718218583634955E-3</v>
      </c>
      <c r="AE49" s="50">
        <f t="shared" si="16"/>
        <v>1.8571523378315757E-2</v>
      </c>
      <c r="AF49" s="50">
        <f t="shared" si="16"/>
        <v>6.887053447155192E-3</v>
      </c>
    </row>
  </sheetData>
  <sheetCalcPr fullCalcOnLoad="1"/>
  <sortState ref="A123:B136">
    <sortCondition ref="B123:B136"/>
  </sortState>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F164"/>
  <sheetViews>
    <sheetView workbookViewId="0">
      <pane xSplit="1" ySplit="3" topLeftCell="B4" activePane="bottomRight" state="frozen"/>
      <selection pane="topRight" activeCell="B1" sqref="B1"/>
      <selection pane="bottomLeft" activeCell="A4" sqref="A4"/>
      <selection pane="bottomRight" activeCell="C45" sqref="C45"/>
    </sheetView>
  </sheetViews>
  <sheetFormatPr baseColWidth="10" defaultRowHeight="15"/>
  <cols>
    <col min="1" max="1" width="10.7109375" style="4"/>
    <col min="2" max="2" width="11.28515625" style="4" customWidth="1"/>
    <col min="3" max="8" width="10.85546875" style="4" customWidth="1"/>
    <col min="9" max="9" width="11" style="4" customWidth="1"/>
    <col min="10" max="14" width="10.85546875" style="4" customWidth="1"/>
    <col min="15" max="17" width="10.7109375" style="4"/>
    <col min="18" max="18" width="10.85546875" style="4" customWidth="1"/>
    <col min="19" max="19" width="10.7109375" style="4"/>
    <col min="20" max="20" width="10.85546875" style="4" customWidth="1"/>
    <col min="21" max="23" width="10.7109375" style="4"/>
    <col min="24" max="25" width="10.85546875" style="4" customWidth="1"/>
    <col min="26" max="32" width="10.7109375" style="4"/>
  </cols>
  <sheetData>
    <row r="1" spans="1:32">
      <c r="B1" s="4" t="s">
        <v>400</v>
      </c>
      <c r="C1" s="4" t="s">
        <v>168</v>
      </c>
      <c r="D1" s="4" t="s">
        <v>169</v>
      </c>
      <c r="E1" s="4" t="s">
        <v>295</v>
      </c>
      <c r="F1" s="4" t="s">
        <v>170</v>
      </c>
      <c r="G1" s="4" t="s">
        <v>171</v>
      </c>
      <c r="H1" s="4" t="s">
        <v>172</v>
      </c>
      <c r="I1" s="4" t="s">
        <v>124</v>
      </c>
      <c r="J1" s="4" t="s">
        <v>328</v>
      </c>
      <c r="K1" s="4" t="s">
        <v>174</v>
      </c>
      <c r="L1" s="4" t="s">
        <v>173</v>
      </c>
      <c r="M1" s="4" t="s">
        <v>175</v>
      </c>
      <c r="N1" s="4" t="s">
        <v>179</v>
      </c>
      <c r="O1" s="4" t="s">
        <v>188</v>
      </c>
      <c r="P1" s="4" t="s">
        <v>41</v>
      </c>
      <c r="Q1" s="4" t="s">
        <v>40</v>
      </c>
      <c r="R1" s="4" t="s">
        <v>180</v>
      </c>
      <c r="S1" s="4" t="s">
        <v>46</v>
      </c>
      <c r="T1" s="4" t="s">
        <v>176</v>
      </c>
      <c r="U1" s="4" t="s">
        <v>182</v>
      </c>
      <c r="V1" s="4" t="s">
        <v>183</v>
      </c>
      <c r="W1" s="4" t="s">
        <v>39</v>
      </c>
      <c r="X1" s="16" t="s">
        <v>178</v>
      </c>
      <c r="Y1" s="4" t="s">
        <v>181</v>
      </c>
      <c r="Z1" s="4" t="s">
        <v>48</v>
      </c>
      <c r="AA1" s="4" t="s">
        <v>42</v>
      </c>
      <c r="AB1" s="4" t="s">
        <v>45</v>
      </c>
      <c r="AC1" s="4" t="s">
        <v>43</v>
      </c>
      <c r="AD1" s="4" t="s">
        <v>44</v>
      </c>
      <c r="AE1" s="4" t="s">
        <v>47</v>
      </c>
      <c r="AF1" s="4" t="s">
        <v>339</v>
      </c>
    </row>
    <row r="2" spans="1:32">
      <c r="B2" s="79" t="s">
        <v>357</v>
      </c>
      <c r="C2" s="79" t="s">
        <v>357</v>
      </c>
      <c r="D2" s="79" t="s">
        <v>357</v>
      </c>
      <c r="E2" s="79" t="s">
        <v>357</v>
      </c>
      <c r="F2" s="79" t="s">
        <v>357</v>
      </c>
      <c r="G2" s="14" t="s">
        <v>249</v>
      </c>
      <c r="H2" s="79" t="s">
        <v>357</v>
      </c>
      <c r="I2" s="79" t="s">
        <v>357</v>
      </c>
      <c r="J2" s="79" t="s">
        <v>357</v>
      </c>
      <c r="K2" s="79" t="s">
        <v>357</v>
      </c>
      <c r="L2" s="79" t="s">
        <v>357</v>
      </c>
      <c r="M2" s="79" t="s">
        <v>357</v>
      </c>
      <c r="N2" s="79" t="s">
        <v>357</v>
      </c>
      <c r="O2" s="79" t="s">
        <v>357</v>
      </c>
      <c r="P2" s="79" t="s">
        <v>357</v>
      </c>
      <c r="Q2" s="79" t="s">
        <v>357</v>
      </c>
      <c r="R2" s="79" t="s">
        <v>357</v>
      </c>
      <c r="S2" s="79" t="s">
        <v>357</v>
      </c>
      <c r="T2" s="79" t="s">
        <v>357</v>
      </c>
      <c r="U2" s="79" t="s">
        <v>357</v>
      </c>
      <c r="V2" s="79" t="s">
        <v>357</v>
      </c>
      <c r="W2" s="79" t="s">
        <v>357</v>
      </c>
      <c r="X2" s="79" t="s">
        <v>357</v>
      </c>
      <c r="Y2" s="79" t="s">
        <v>357</v>
      </c>
      <c r="Z2" s="79" t="s">
        <v>357</v>
      </c>
      <c r="AA2" s="79" t="s">
        <v>357</v>
      </c>
      <c r="AB2" s="79" t="s">
        <v>357</v>
      </c>
      <c r="AC2" s="79" t="s">
        <v>357</v>
      </c>
      <c r="AD2" s="79" t="s">
        <v>357</v>
      </c>
      <c r="AE2" s="79" t="s">
        <v>357</v>
      </c>
      <c r="AF2" s="79" t="s">
        <v>357</v>
      </c>
    </row>
    <row r="3" spans="1:32">
      <c r="B3" s="14" t="s">
        <v>355</v>
      </c>
      <c r="C3" s="14" t="s">
        <v>355</v>
      </c>
      <c r="D3" s="14" t="s">
        <v>365</v>
      </c>
      <c r="E3" s="14" t="s">
        <v>351</v>
      </c>
      <c r="F3" s="14" t="s">
        <v>351</v>
      </c>
      <c r="G3" s="14" t="s">
        <v>289</v>
      </c>
      <c r="H3" s="14" t="s">
        <v>289</v>
      </c>
      <c r="I3" s="14" t="s">
        <v>287</v>
      </c>
      <c r="J3" s="14" t="s">
        <v>259</v>
      </c>
      <c r="K3" s="14" t="s">
        <v>260</v>
      </c>
      <c r="L3" s="14" t="s">
        <v>288</v>
      </c>
      <c r="M3" s="14" t="s">
        <v>258</v>
      </c>
      <c r="N3" s="14">
        <v>1910</v>
      </c>
      <c r="O3" s="14">
        <v>1910</v>
      </c>
      <c r="P3" s="14">
        <v>1910</v>
      </c>
      <c r="Q3" s="14">
        <v>1910</v>
      </c>
      <c r="R3" s="14">
        <v>1910</v>
      </c>
      <c r="S3" s="14">
        <v>1910</v>
      </c>
      <c r="T3" s="14">
        <v>1910</v>
      </c>
      <c r="U3" s="14">
        <v>1910</v>
      </c>
      <c r="V3" s="14">
        <v>1910</v>
      </c>
      <c r="W3" s="14">
        <v>1910</v>
      </c>
      <c r="X3" s="14">
        <v>1910</v>
      </c>
      <c r="Y3" s="14">
        <v>1914</v>
      </c>
      <c r="Z3" s="14">
        <v>1914</v>
      </c>
      <c r="AA3" s="14">
        <v>1916</v>
      </c>
      <c r="AB3" s="14">
        <v>1916</v>
      </c>
      <c r="AC3" s="14">
        <v>1916</v>
      </c>
      <c r="AD3" s="14">
        <v>1916</v>
      </c>
      <c r="AE3" s="14">
        <v>1916</v>
      </c>
      <c r="AF3" s="14">
        <v>1920</v>
      </c>
    </row>
    <row r="4" spans="1:32">
      <c r="A4" s="4">
        <v>1780</v>
      </c>
      <c r="B4" s="69">
        <f>'Hide prices'!B4</f>
        <v>15.051499908364692</v>
      </c>
      <c r="C4" s="56"/>
      <c r="E4" s="56"/>
      <c r="F4" s="56"/>
    </row>
    <row r="5" spans="1:32">
      <c r="A5" s="4">
        <v>1781</v>
      </c>
      <c r="B5" s="69">
        <f>'Hide prices'!B5</f>
        <v>14.941830881673507</v>
      </c>
      <c r="C5" s="56"/>
      <c r="E5" s="56"/>
      <c r="F5" s="56"/>
    </row>
    <row r="6" spans="1:32">
      <c r="A6" s="4">
        <v>1782</v>
      </c>
      <c r="B6" s="69">
        <f>'Hide prices'!B6</f>
        <v>15.401335755022965</v>
      </c>
      <c r="C6" s="56"/>
      <c r="E6" s="56"/>
      <c r="F6" s="56"/>
    </row>
    <row r="7" spans="1:32">
      <c r="A7" s="4">
        <v>1783</v>
      </c>
      <c r="B7" s="69">
        <f>'Hide prices'!B7</f>
        <v>17.547566590394084</v>
      </c>
      <c r="C7" s="56"/>
      <c r="E7" s="56"/>
      <c r="F7" s="56"/>
    </row>
    <row r="8" spans="1:32">
      <c r="A8" s="4">
        <v>1784</v>
      </c>
      <c r="B8" s="69">
        <f>'Hide prices'!B8</f>
        <v>20.348407474824832</v>
      </c>
      <c r="C8" s="56"/>
      <c r="E8" s="56"/>
      <c r="F8" s="56"/>
    </row>
    <row r="9" spans="1:32">
      <c r="A9" s="4">
        <v>1785</v>
      </c>
      <c r="B9" s="69">
        <f>'Hide prices'!B9</f>
        <v>14.897526670088171</v>
      </c>
      <c r="C9" s="56"/>
      <c r="E9" s="56"/>
      <c r="F9" s="56"/>
    </row>
    <row r="10" spans="1:32">
      <c r="A10" s="4">
        <v>1786</v>
      </c>
      <c r="B10" s="69">
        <f>'Hide prices'!B10</f>
        <v>13.799718008058166</v>
      </c>
      <c r="C10" s="56"/>
      <c r="E10" s="56"/>
      <c r="F10" s="56"/>
    </row>
    <row r="11" spans="1:32">
      <c r="A11" s="4">
        <v>1787</v>
      </c>
      <c r="B11" s="69">
        <f>'Hide prices'!B11</f>
        <v>18.0145694692504</v>
      </c>
      <c r="C11" s="56"/>
      <c r="E11" s="56"/>
      <c r="F11" s="56"/>
    </row>
    <row r="12" spans="1:32">
      <c r="A12" s="4">
        <v>1788</v>
      </c>
      <c r="B12" s="69">
        <f>'Hide prices'!B12</f>
        <v>18.250265969789552</v>
      </c>
      <c r="C12" s="56"/>
      <c r="E12" s="56"/>
      <c r="F12" s="56"/>
    </row>
    <row r="13" spans="1:32">
      <c r="A13" s="4">
        <v>1789</v>
      </c>
      <c r="B13" s="69">
        <f>'Hide prices'!B13</f>
        <v>16.946750995736167</v>
      </c>
      <c r="C13" s="56"/>
      <c r="E13" s="56"/>
      <c r="F13" s="56"/>
    </row>
    <row r="14" spans="1:32">
      <c r="A14" s="4">
        <v>1790</v>
      </c>
      <c r="B14" s="69">
        <f>'Hide prices'!B14</f>
        <v>8.5842767181662172</v>
      </c>
      <c r="C14" s="56"/>
      <c r="E14" s="56"/>
      <c r="F14" s="56"/>
    </row>
    <row r="15" spans="1:32">
      <c r="A15" s="4">
        <v>1791</v>
      </c>
      <c r="B15" s="69">
        <f>'Hide prices'!B15</f>
        <v>15.587917859022225</v>
      </c>
      <c r="C15" s="56"/>
      <c r="E15" s="56"/>
      <c r="F15" s="56"/>
    </row>
    <row r="16" spans="1:32">
      <c r="A16" s="4">
        <v>1792</v>
      </c>
      <c r="B16" s="69">
        <f>'Hide prices'!B16</f>
        <v>14.096764447927395</v>
      </c>
      <c r="C16" s="56"/>
      <c r="E16" s="56"/>
      <c r="F16" s="56"/>
    </row>
    <row r="17" spans="1:6">
      <c r="A17" s="4">
        <v>1793</v>
      </c>
      <c r="B17" s="69">
        <f>'Hide prices'!B17</f>
        <v>13.695357891897988</v>
      </c>
      <c r="C17" s="56"/>
      <c r="E17" s="56"/>
      <c r="F17" s="56"/>
    </row>
    <row r="18" spans="1:6">
      <c r="A18" s="4">
        <v>1794</v>
      </c>
      <c r="B18" s="69">
        <f>'Hide prices'!B18</f>
        <v>15.524926720958328</v>
      </c>
      <c r="C18" s="56"/>
      <c r="E18" s="56"/>
      <c r="F18" s="56"/>
    </row>
    <row r="19" spans="1:6">
      <c r="A19" s="4">
        <v>1795</v>
      </c>
      <c r="B19" s="69">
        <f>'Hide prices'!B19</f>
        <v>24.253406648513526</v>
      </c>
      <c r="C19" s="56"/>
      <c r="E19" s="56"/>
      <c r="F19" s="56"/>
    </row>
    <row r="20" spans="1:6">
      <c r="A20" s="4">
        <v>1796</v>
      </c>
      <c r="B20" s="69">
        <f>'Hide prices'!B20</f>
        <v>24.493722415610076</v>
      </c>
      <c r="C20" s="56"/>
      <c r="E20" s="56"/>
      <c r="F20" s="56"/>
    </row>
    <row r="21" spans="1:6">
      <c r="A21" s="4">
        <v>1797</v>
      </c>
      <c r="B21" s="69"/>
      <c r="C21" s="56"/>
      <c r="E21" s="56"/>
      <c r="F21" s="56"/>
    </row>
    <row r="22" spans="1:6">
      <c r="A22" s="4">
        <v>1798</v>
      </c>
      <c r="B22" s="69"/>
      <c r="C22" s="56"/>
      <c r="E22" s="56"/>
      <c r="F22" s="56"/>
    </row>
    <row r="23" spans="1:6">
      <c r="A23" s="4">
        <v>1799</v>
      </c>
      <c r="B23" s="69"/>
      <c r="C23" s="56"/>
      <c r="E23" s="56"/>
      <c r="F23" s="56"/>
    </row>
    <row r="24" spans="1:6">
      <c r="A24" s="4">
        <v>1800</v>
      </c>
      <c r="B24" s="69"/>
      <c r="C24" s="56"/>
      <c r="E24" s="56"/>
      <c r="F24" s="56"/>
    </row>
    <row r="25" spans="1:6">
      <c r="A25" s="4">
        <v>1801</v>
      </c>
      <c r="B25" s="69"/>
      <c r="C25" s="56"/>
      <c r="E25" s="56"/>
      <c r="F25" s="56"/>
    </row>
    <row r="26" spans="1:6">
      <c r="A26" s="4">
        <v>1802</v>
      </c>
      <c r="B26" s="69"/>
      <c r="C26" s="56"/>
      <c r="E26" s="56"/>
      <c r="F26" s="56"/>
    </row>
    <row r="27" spans="1:6">
      <c r="A27" s="4">
        <v>1803</v>
      </c>
      <c r="B27" s="69"/>
      <c r="C27" s="56"/>
      <c r="E27" s="56"/>
      <c r="F27" s="56"/>
    </row>
    <row r="28" spans="1:6">
      <c r="A28" s="4">
        <v>1804</v>
      </c>
      <c r="B28" s="69"/>
      <c r="C28" s="56"/>
      <c r="E28" s="56"/>
      <c r="F28" s="56"/>
    </row>
    <row r="29" spans="1:6">
      <c r="A29" s="4">
        <v>1805</v>
      </c>
      <c r="B29" s="69"/>
      <c r="C29" s="56"/>
      <c r="E29" s="56"/>
      <c r="F29" s="56"/>
    </row>
    <row r="30" spans="1:6">
      <c r="A30" s="4">
        <v>1806</v>
      </c>
      <c r="B30" s="69"/>
      <c r="C30" s="56"/>
      <c r="E30" s="56"/>
      <c r="F30" s="56"/>
    </row>
    <row r="31" spans="1:6">
      <c r="A31" s="4">
        <v>1807</v>
      </c>
      <c r="B31" s="69"/>
      <c r="C31" s="56"/>
      <c r="E31" s="56"/>
      <c r="F31" s="56"/>
    </row>
    <row r="32" spans="1:6">
      <c r="A32" s="4">
        <v>1808</v>
      </c>
      <c r="B32" s="69"/>
      <c r="C32" s="56"/>
      <c r="E32" s="56"/>
      <c r="F32" s="56"/>
    </row>
    <row r="33" spans="1:22">
      <c r="A33" s="4">
        <v>1809</v>
      </c>
      <c r="B33" s="69"/>
      <c r="C33" s="56"/>
      <c r="E33" s="56"/>
      <c r="F33" s="56"/>
    </row>
    <row r="34" spans="1:22">
      <c r="A34" s="4">
        <v>1810</v>
      </c>
      <c r="B34" s="69">
        <f>'Hide prices'!B34</f>
        <v>23.159868262742275</v>
      </c>
      <c r="C34" s="56"/>
      <c r="E34" s="56"/>
      <c r="F34" s="56"/>
    </row>
    <row r="35" spans="1:22">
      <c r="A35" s="4">
        <v>1811</v>
      </c>
      <c r="B35" s="69">
        <f>'Hide prices'!B35</f>
        <v>23.466438532087448</v>
      </c>
      <c r="C35" s="56"/>
      <c r="E35" s="56"/>
      <c r="F35" s="56"/>
    </row>
    <row r="36" spans="1:22">
      <c r="A36" s="4">
        <v>1812</v>
      </c>
      <c r="B36" s="69">
        <f>'Hide prices'!B36</f>
        <v>42.213709198223938</v>
      </c>
      <c r="C36" s="56"/>
      <c r="E36" s="56"/>
      <c r="F36" s="56"/>
    </row>
    <row r="37" spans="1:22">
      <c r="A37" s="4">
        <v>1813</v>
      </c>
      <c r="B37" s="69">
        <f>'Hide prices'!B37</f>
        <v>45.665338726903997</v>
      </c>
      <c r="C37" s="56"/>
      <c r="E37" s="56"/>
      <c r="F37" s="56"/>
    </row>
    <row r="38" spans="1:22">
      <c r="A38" s="4">
        <v>1814</v>
      </c>
      <c r="B38" s="69">
        <f>'Hide prices'!B38</f>
        <v>42.018547143310961</v>
      </c>
      <c r="C38" s="56"/>
      <c r="E38" s="56"/>
      <c r="F38" s="56"/>
    </row>
    <row r="39" spans="1:22">
      <c r="A39" s="4">
        <v>1815</v>
      </c>
      <c r="B39" s="69">
        <f>'Hide prices'!B39</f>
        <v>42.380544837270556</v>
      </c>
      <c r="C39" s="56"/>
      <c r="E39" s="56"/>
      <c r="F39" s="56"/>
      <c r="V39" s="54"/>
    </row>
    <row r="40" spans="1:22">
      <c r="A40" s="4">
        <v>1816</v>
      </c>
      <c r="B40" s="69">
        <f>'Hide prices'!B40</f>
        <v>54.594615177907528</v>
      </c>
      <c r="C40" s="56"/>
      <c r="E40" s="56"/>
      <c r="F40" s="56"/>
      <c r="V40" s="54"/>
    </row>
    <row r="41" spans="1:22">
      <c r="A41" s="4">
        <v>1817</v>
      </c>
      <c r="B41" s="69">
        <f>'Hide prices'!B41</f>
        <v>55.903169804961507</v>
      </c>
      <c r="C41" s="56"/>
      <c r="E41" s="56"/>
      <c r="F41" s="56"/>
      <c r="V41" s="54"/>
    </row>
    <row r="42" spans="1:22">
      <c r="A42" s="4">
        <v>1818</v>
      </c>
      <c r="B42" s="69">
        <f>'Hide prices'!B42</f>
        <v>57.769469027153235</v>
      </c>
      <c r="C42" s="56"/>
      <c r="E42" s="56"/>
      <c r="F42" s="56"/>
    </row>
    <row r="43" spans="1:22">
      <c r="A43" s="4">
        <v>1819</v>
      </c>
      <c r="B43" s="69">
        <f>'Hide prices'!B43</f>
        <v>57.125917571225038</v>
      </c>
      <c r="C43" s="56"/>
      <c r="E43" s="56"/>
      <c r="F43" s="56"/>
    </row>
    <row r="44" spans="1:22">
      <c r="A44" s="4">
        <v>1820</v>
      </c>
      <c r="B44" s="69">
        <f>'Hide prices'!B44</f>
        <v>54.01541886757218</v>
      </c>
      <c r="C44" s="56"/>
      <c r="E44" s="56"/>
      <c r="F44" s="56"/>
    </row>
    <row r="45" spans="1:22">
      <c r="A45" s="4">
        <v>1821</v>
      </c>
      <c r="B45" s="69">
        <f>'Hide prices'!B45</f>
        <v>71.128301211095788</v>
      </c>
      <c r="C45" s="56">
        <f>(('Anon. 2'!C4/8)*1000/(60*0.4594))/XE!$D43</f>
        <v>38.287531507774538</v>
      </c>
      <c r="E45" s="56"/>
      <c r="F45" s="56"/>
    </row>
    <row r="46" spans="1:22">
      <c r="A46" s="4">
        <v>1822</v>
      </c>
      <c r="B46" s="69">
        <f>'Hide prices'!B46</f>
        <v>77.201873940259674</v>
      </c>
      <c r="C46" s="106">
        <f>(('Anon. 2'!C5/8)*1000/(60*0.4594))/XE!$D44</f>
        <v>41.21112841851216</v>
      </c>
      <c r="E46" s="56"/>
      <c r="F46" s="56"/>
    </row>
    <row r="47" spans="1:22">
      <c r="A47" s="4">
        <v>1823</v>
      </c>
      <c r="B47" s="69">
        <f>'Hide prices'!B47</f>
        <v>71.691619657263246</v>
      </c>
      <c r="C47" s="106">
        <f>(('Anon. 2'!C6/8)*1000/(60*0.4594))/XE!$E45</f>
        <v>38.783430988591903</v>
      </c>
      <c r="E47" s="56"/>
      <c r="F47" s="56"/>
    </row>
    <row r="48" spans="1:22">
      <c r="A48" s="4">
        <v>1824</v>
      </c>
      <c r="B48" s="69"/>
      <c r="C48" s="56"/>
      <c r="E48" s="56"/>
      <c r="F48" s="56"/>
    </row>
    <row r="49" spans="1:25">
      <c r="A49" s="4">
        <v>1825</v>
      </c>
      <c r="B49" s="69"/>
      <c r="C49" s="56"/>
      <c r="E49" s="56"/>
      <c r="F49" s="56"/>
    </row>
    <row r="50" spans="1:25">
      <c r="A50" s="4">
        <v>1826</v>
      </c>
      <c r="B50" s="69"/>
      <c r="C50" s="56"/>
      <c r="E50" s="56"/>
      <c r="F50" s="56"/>
    </row>
    <row r="51" spans="1:25">
      <c r="A51" s="4">
        <v>1827</v>
      </c>
      <c r="B51" s="69"/>
      <c r="C51" s="56"/>
      <c r="E51" s="56"/>
      <c r="F51" s="56"/>
      <c r="G51" s="54"/>
      <c r="H51" s="54"/>
      <c r="I51" s="54"/>
      <c r="J51" s="54"/>
      <c r="K51" s="54"/>
      <c r="L51" s="54"/>
      <c r="M51" s="54"/>
      <c r="N51" s="54"/>
      <c r="R51" s="54"/>
      <c r="T51" s="54"/>
      <c r="U51" s="54"/>
      <c r="X51" s="54"/>
      <c r="Y51" s="54"/>
    </row>
    <row r="52" spans="1:25">
      <c r="A52" s="4">
        <v>1828</v>
      </c>
      <c r="B52" s="69"/>
      <c r="C52" s="56"/>
      <c r="E52" s="56"/>
      <c r="F52" s="56"/>
      <c r="G52" s="54"/>
      <c r="H52" s="54"/>
      <c r="I52" s="54"/>
      <c r="J52" s="54"/>
      <c r="K52" s="54"/>
      <c r="L52" s="54"/>
      <c r="M52" s="54"/>
      <c r="N52" s="54"/>
      <c r="R52" s="54"/>
      <c r="T52" s="54"/>
      <c r="U52" s="54"/>
      <c r="X52" s="54"/>
      <c r="Y52" s="54"/>
    </row>
    <row r="53" spans="1:25">
      <c r="A53" s="4">
        <v>1829</v>
      </c>
      <c r="B53" s="69">
        <f>'Hide prices'!B53</f>
        <v>57.284004881778266</v>
      </c>
      <c r="C53" s="56">
        <f>(Broide!B4*1000/(60*0.4594))/XE!$E51</f>
        <v>25.225007096403377</v>
      </c>
      <c r="D53" s="51">
        <f>((Broide!J4/45.94)*1000)/XE!E51</f>
        <v>10.308297192238559</v>
      </c>
      <c r="E53" s="56"/>
      <c r="F53" s="56"/>
      <c r="G53" s="25"/>
      <c r="H53" s="25"/>
      <c r="I53" s="25"/>
      <c r="J53" s="25"/>
      <c r="K53" s="54"/>
      <c r="L53" s="25"/>
      <c r="M53" s="25"/>
      <c r="N53" s="54"/>
      <c r="R53" s="54"/>
      <c r="T53" s="54"/>
      <c r="U53" s="54"/>
      <c r="X53" s="54"/>
      <c r="Y53" s="54"/>
    </row>
    <row r="54" spans="1:25">
      <c r="A54" s="4">
        <v>1830</v>
      </c>
      <c r="B54" s="69">
        <f>'Hide prices'!B54</f>
        <v>63.038956514817663</v>
      </c>
      <c r="C54" s="106">
        <f>(Broide!B5*1000/(60*0.4594))/XE!$E52</f>
        <v>28.110859899590999</v>
      </c>
      <c r="D54" s="51">
        <f>((Broide!J5/45.94)*1000)/XE!E52</f>
        <v>8.0315211123171224</v>
      </c>
      <c r="E54" s="56"/>
      <c r="F54" s="56"/>
      <c r="G54" s="54"/>
      <c r="H54" s="54"/>
      <c r="I54" s="54"/>
      <c r="J54" s="54"/>
      <c r="L54" s="54"/>
      <c r="M54" s="54"/>
    </row>
    <row r="55" spans="1:25">
      <c r="A55" s="4">
        <v>1831</v>
      </c>
      <c r="B55" s="69">
        <f>'Hide prices'!B55</f>
        <v>57.427278180164187</v>
      </c>
      <c r="C55" s="106">
        <f>(Broide!B6*1000/(60*0.4594))/XE!$E53</f>
        <v>23.197734239669494</v>
      </c>
      <c r="D55" s="51">
        <f>((Broide!J6/45.94)*1000)/XE!E53</f>
        <v>7.2011911186117379</v>
      </c>
      <c r="E55" s="56"/>
      <c r="F55" s="56"/>
      <c r="G55" s="54"/>
      <c r="H55" s="54"/>
      <c r="I55" s="54"/>
      <c r="J55" s="54"/>
      <c r="L55" s="54"/>
      <c r="M55" s="54"/>
    </row>
    <row r="56" spans="1:25">
      <c r="A56" s="4">
        <v>1832</v>
      </c>
      <c r="B56" s="69">
        <f>'Hide prices'!B56</f>
        <v>57.64390610601636</v>
      </c>
      <c r="C56" s="106">
        <f>(Broide!B7*1000/(60*0.4594))/XE!$E54</f>
        <v>22.664493745689089</v>
      </c>
      <c r="D56" s="51">
        <f>((Broide!J7/45.94)*1000)/XE!E54</f>
        <v>9.6617627500379495</v>
      </c>
      <c r="E56" s="56"/>
      <c r="F56" s="56"/>
      <c r="G56" s="54"/>
      <c r="H56" s="54"/>
      <c r="I56" s="54"/>
      <c r="J56" s="54"/>
      <c r="L56" s="54"/>
      <c r="M56" s="54"/>
    </row>
    <row r="57" spans="1:25">
      <c r="A57" s="4">
        <v>1833</v>
      </c>
      <c r="B57" s="69">
        <f>'Hide prices'!B57</f>
        <v>58.289449892227616</v>
      </c>
      <c r="C57" s="106">
        <f>(Broide!B8*1000/(60*0.4594))/XE!$E55</f>
        <v>24.035606475694347</v>
      </c>
      <c r="D57" s="51">
        <f>((Broide!J8/45.94)*1000)/XE!E55</f>
        <v>8.8287934613632455</v>
      </c>
      <c r="E57" s="56">
        <f>((Broide!H8/11.485)*1000)/XE!E55</f>
        <v>27.095405554817287</v>
      </c>
      <c r="F57" s="56">
        <f>((Broide!G8/11.485)*1000)/XE!E55</f>
        <v>31.876460296447128</v>
      </c>
      <c r="G57" s="54"/>
      <c r="H57" s="54"/>
      <c r="I57" s="54"/>
      <c r="J57" s="54"/>
      <c r="L57" s="54"/>
      <c r="M57" s="54"/>
    </row>
    <row r="58" spans="1:25">
      <c r="A58" s="4">
        <v>1834</v>
      </c>
      <c r="B58" s="69">
        <f>'Hide prices'!B58</f>
        <v>61.722761996563875</v>
      </c>
      <c r="C58" s="106">
        <f>(Broide!B9*1000/(60*0.4594))/XE!$E56</f>
        <v>25.300553938874607</v>
      </c>
      <c r="D58" s="51">
        <f>((Broide!J9/45.94)*1000)/XE!E56</f>
        <v>9.6627031505143677</v>
      </c>
      <c r="E58" s="56">
        <f>((Broide!H9/11.485)*1000)/XE!E56</f>
        <v>31.806308301448396</v>
      </c>
      <c r="F58" s="56">
        <f>((Broide!G9/11.485)*1000)/XE!E56</f>
        <v>28.136845725713581</v>
      </c>
      <c r="G58" s="54"/>
      <c r="H58" s="54"/>
      <c r="I58" s="54"/>
      <c r="J58" s="54"/>
      <c r="L58" s="54"/>
      <c r="M58" s="54"/>
    </row>
    <row r="59" spans="1:25">
      <c r="A59" s="4">
        <v>1835</v>
      </c>
      <c r="B59" s="69">
        <f>'Hide prices'!B59</f>
        <v>57.246517970152553</v>
      </c>
      <c r="C59" s="106">
        <f>(Broide!B10*1000/(60*0.4594))/XE!$E57</f>
        <v>23.592856264058476</v>
      </c>
      <c r="D59" s="51">
        <f>((Broide!J10/45.94)*1000)/XE!E57</f>
        <v>9.7760940414312305</v>
      </c>
      <c r="E59" s="56">
        <f>((Broide!H10/11.485)*1000)/XE!E57</f>
        <v>26.440290779992065</v>
      </c>
      <c r="F59" s="56">
        <f>((Broide!G10/11.485)*1000)/XE!E57</f>
        <v>27.506849074947485</v>
      </c>
      <c r="G59" s="54"/>
      <c r="H59" s="54"/>
      <c r="I59" s="54"/>
      <c r="J59" s="54"/>
      <c r="L59" s="54"/>
      <c r="M59" s="54"/>
    </row>
    <row r="60" spans="1:25">
      <c r="A60" s="4">
        <v>1836</v>
      </c>
      <c r="B60" s="69">
        <f>'Hide prices'!B60</f>
        <v>56.065019038289009</v>
      </c>
      <c r="C60" s="106">
        <f>(Broide!B11*1000/(60*0.4594))/XE!$E58</f>
        <v>23.432841474746507</v>
      </c>
      <c r="D60" s="51">
        <f>((Broide!J11/45.94)*1000)/XE!E58</f>
        <v>12.110494482264587</v>
      </c>
      <c r="E60" s="56">
        <f>((Broide!H11/11.485)*1000)/XE!E58</f>
        <v>27.480428449120318</v>
      </c>
      <c r="F60" s="56">
        <f>((Broide!G11/11.485)*1000)/XE!E58</f>
        <v>30.286021929527898</v>
      </c>
      <c r="G60" s="54"/>
      <c r="H60" s="54"/>
      <c r="I60" s="54"/>
      <c r="J60" s="54"/>
      <c r="L60" s="54"/>
      <c r="M60" s="54"/>
    </row>
    <row r="61" spans="1:25">
      <c r="A61" s="4">
        <v>1837</v>
      </c>
      <c r="B61" s="69">
        <f>'Hide prices'!B61</f>
        <v>52.754869784789193</v>
      </c>
      <c r="C61" s="106">
        <f>(Broide!B12*1000/(60*0.4594))/XE!$E59</f>
        <v>22.699724235188331</v>
      </c>
      <c r="D61" s="51">
        <f>((Broide!J12/45.94)*1000)/XE!E59</f>
        <v>8.9906860787213336</v>
      </c>
      <c r="E61" s="56">
        <f>((Broide!H12/11.485)*1000)/XE!E59</f>
        <v>25.035537422420834</v>
      </c>
      <c r="F61" s="56">
        <f>((Broide!G12/11.485)*1000)/XE!E59</f>
        <v>28.165687565424665</v>
      </c>
      <c r="G61" s="54"/>
      <c r="H61" s="54"/>
      <c r="I61" s="54"/>
      <c r="J61" s="54"/>
      <c r="L61" s="54"/>
      <c r="M61" s="54"/>
    </row>
    <row r="62" spans="1:25">
      <c r="A62" s="4">
        <v>1838</v>
      </c>
      <c r="B62" s="69">
        <f>'Hide prices'!B62</f>
        <v>47.159978796315166</v>
      </c>
      <c r="C62" s="106">
        <f>(Broide!B13*1000/(60*0.4594))/XE!$E60</f>
        <v>20.072570528807535</v>
      </c>
      <c r="D62" s="51">
        <f>((Broide!J13/45.94)*1000)/XE!E60</f>
        <v>7.6919392009787018</v>
      </c>
      <c r="E62" s="56">
        <f>((Broide!H13/11.485)*1000)/XE!E60</f>
        <v>18.629141742931232</v>
      </c>
      <c r="F62" s="56">
        <f>((Broide!G13/11.485)*1000)/XE!E60</f>
        <v>24.69503859203471</v>
      </c>
      <c r="G62" s="54"/>
      <c r="H62" s="54"/>
      <c r="I62" s="54"/>
      <c r="J62" s="54"/>
      <c r="L62" s="54"/>
      <c r="M62" s="54"/>
    </row>
    <row r="63" spans="1:25">
      <c r="A63" s="4">
        <v>1839</v>
      </c>
      <c r="B63" s="69">
        <f>'Hide prices'!B63</f>
        <v>35.526044875046985</v>
      </c>
      <c r="C63" s="106">
        <f>(Broide!B14*1000/(60*0.4594))/XE!$E61</f>
        <v>16.789271547195106</v>
      </c>
      <c r="D63" s="51">
        <f>((Broide!J14/45.94)*1000)/XE!E61</f>
        <v>5.9622827351160614</v>
      </c>
      <c r="E63" s="56">
        <f>((Broide!H14/11.485)*1000)/XE!E61</f>
        <v>16.188983221000662</v>
      </c>
      <c r="F63" s="56">
        <f>((Broide!G14/11.485)*1000)/XE!E61</f>
        <v>21.267046428880693</v>
      </c>
      <c r="G63" s="54"/>
      <c r="H63" s="54"/>
      <c r="I63" s="54"/>
      <c r="J63" s="54"/>
      <c r="L63" s="54"/>
      <c r="M63" s="54"/>
    </row>
    <row r="64" spans="1:25">
      <c r="A64" s="4">
        <v>1840</v>
      </c>
      <c r="B64" s="69">
        <f>'Hide prices'!B64</f>
        <v>31.813989103031957</v>
      </c>
      <c r="C64" s="106">
        <f>(Broide!B15*1000/(60*0.4594))/XE!$E62</f>
        <v>15.011710646242738</v>
      </c>
      <c r="D64" s="51">
        <f>((Broide!J15/45.94)*1000)/XE!E62</f>
        <v>6.1026525927763151</v>
      </c>
      <c r="E64" s="56">
        <f>((Broide!H15/11.485)*1000)/XE!E62</f>
        <v>13.714548666147833</v>
      </c>
      <c r="F64" s="56">
        <f>((Broide!G15/11.485)*1000)/XE!E62</f>
        <v>19.458631460141675</v>
      </c>
      <c r="G64" s="54"/>
      <c r="H64" s="54"/>
      <c r="I64" s="54"/>
      <c r="J64" s="54"/>
      <c r="L64" s="54"/>
      <c r="M64" s="54"/>
    </row>
    <row r="65" spans="1:13">
      <c r="A65" s="4">
        <v>1841</v>
      </c>
      <c r="B65" s="69">
        <f>'Hide prices'!B65</f>
        <v>42.950905296907685</v>
      </c>
      <c r="C65" s="106">
        <f>(Broide!B16*1000/(60*0.4594))/XE!$E63</f>
        <v>22.271364968457402</v>
      </c>
      <c r="D65" s="51">
        <f>((Broide!J16/45.94)*1000)/XE!E63</f>
        <v>8.3437096536317981</v>
      </c>
      <c r="E65" s="56">
        <f>((Broide!H16/11.485)*1000)/XE!E63</f>
        <v>20.007563064650888</v>
      </c>
      <c r="F65" s="56">
        <f>((Broide!G16/11.485)*1000)/XE!E63</f>
        <v>30.274687298904553</v>
      </c>
      <c r="G65" s="54"/>
      <c r="H65" s="54"/>
      <c r="I65" s="54"/>
      <c r="J65" s="54"/>
      <c r="L65" s="54"/>
      <c r="M65" s="54"/>
    </row>
    <row r="66" spans="1:13">
      <c r="A66" s="4">
        <v>1842</v>
      </c>
      <c r="B66" s="69">
        <f>'Hide prices'!B66</f>
        <v>42.953026587614914</v>
      </c>
      <c r="C66" s="106">
        <f>(Broide!B17*1000/(60*0.4594))/XE!$E64</f>
        <v>22.846845071839663</v>
      </c>
      <c r="D66" s="51">
        <f>((Broide!J17/45.94)*1000)/XE!E64</f>
        <v>5.4323561072617759</v>
      </c>
      <c r="E66" s="56">
        <f>((Broide!H17/11.485)*1000)/XE!E64</f>
        <v>23.081962985751318</v>
      </c>
      <c r="F66" s="56">
        <f>((Broide!G17/11.485)*1000)/XE!E64</f>
        <v>33.181154362534201</v>
      </c>
      <c r="G66" s="54"/>
      <c r="H66" s="54"/>
      <c r="I66" s="54"/>
      <c r="J66" s="54"/>
      <c r="L66" s="54"/>
      <c r="M66" s="54"/>
    </row>
    <row r="67" spans="1:13">
      <c r="A67" s="4">
        <v>1843</v>
      </c>
      <c r="B67" s="69">
        <f>'Hide prices'!B67</f>
        <v>42.866614038756929</v>
      </c>
      <c r="C67" s="106">
        <f>(Broide!B18*1000/(60*0.4594))/XE!$E65</f>
        <v>24.058986957711888</v>
      </c>
      <c r="D67" s="51">
        <f>((Broide!J18/45.94)*1000)/XE!E65</f>
        <v>10.414214302609263</v>
      </c>
      <c r="E67" s="56">
        <f>((Broide!H18/11.485)*1000)/XE!E65</f>
        <v>23.985086547372759</v>
      </c>
      <c r="F67" s="56">
        <f>((Broide!G18/11.485)*1000)/XE!E65</f>
        <v>21.797021755445769</v>
      </c>
      <c r="G67" s="54"/>
      <c r="H67" s="54"/>
      <c r="I67" s="54"/>
      <c r="J67" s="54"/>
      <c r="L67" s="54"/>
      <c r="M67" s="54"/>
    </row>
    <row r="68" spans="1:13">
      <c r="A68" s="4">
        <v>1844</v>
      </c>
      <c r="B68" s="69">
        <f>'Hide prices'!B68</f>
        <v>43.381729207592258</v>
      </c>
      <c r="C68" s="106">
        <f>(Broide!B19*1000/(60*0.4594))/XE!$E66</f>
        <v>25.096651858890624</v>
      </c>
      <c r="D68" s="51">
        <f>((Broide!J19/45.94)*1000)/XE!E66</f>
        <v>7.9232219748457986</v>
      </c>
      <c r="E68" s="56">
        <f>((Broide!H19/11.485)*1000)/XE!E66</f>
        <v>32.989404935680426</v>
      </c>
      <c r="F68" s="56">
        <f>((Broide!G19/11.485)*1000)/XE!E66</f>
        <v>16.260297571139418</v>
      </c>
      <c r="G68" s="54"/>
      <c r="H68" s="54"/>
      <c r="I68" s="54"/>
      <c r="J68" s="54"/>
      <c r="L68" s="54"/>
      <c r="M68" s="54"/>
    </row>
    <row r="69" spans="1:13">
      <c r="A69" s="4">
        <v>1845</v>
      </c>
      <c r="B69" s="69">
        <f>'Hide prices'!B69</f>
        <v>33.386697828357313</v>
      </c>
      <c r="C69" s="106">
        <f>(Broide!B20*1000/(60*0.4594))/XE!$E67</f>
        <v>20.547501684151481</v>
      </c>
      <c r="D69" s="51">
        <f>((Broide!J20/45.94)*1000)/XE!E67</f>
        <v>7.3939242138285532</v>
      </c>
      <c r="E69" s="56">
        <f>((Broide!H20/11.485)*1000)/XE!E67</f>
        <v>27.618293388093871</v>
      </c>
      <c r="F69" s="56">
        <f>((Broide!G20/11.485)*1000)/XE!E67</f>
        <v>12.649276832685986</v>
      </c>
      <c r="G69" s="54"/>
      <c r="H69" s="54"/>
      <c r="I69" s="54"/>
      <c r="J69" s="54"/>
      <c r="L69" s="54"/>
      <c r="M69" s="54"/>
    </row>
    <row r="70" spans="1:13">
      <c r="A70" s="4">
        <v>1846</v>
      </c>
      <c r="B70" s="69">
        <f>'Hide prices'!B70</f>
        <v>25.425893226820641</v>
      </c>
      <c r="C70" s="106">
        <f>(Broide!B21*1000/(60*0.4594))/XE!$E68</f>
        <v>15.125035507114143</v>
      </c>
      <c r="D70" s="91">
        <f>((Broide!J21/45.94)*1000)/XE!E68</f>
        <v>6.1854495807281715</v>
      </c>
      <c r="E70" s="56">
        <f>((Broide!H21/11.485)*1000)/XE!E68</f>
        <v>18.150559825675764</v>
      </c>
      <c r="F70" s="56">
        <f>((Broide!G21/11.485)*1000)/XE!E68</f>
        <v>14.172108863529898</v>
      </c>
      <c r="G70" s="54"/>
      <c r="H70" s="54"/>
      <c r="I70" s="54"/>
      <c r="J70" s="54"/>
      <c r="L70" s="54"/>
      <c r="M70" s="54"/>
    </row>
    <row r="71" spans="1:13">
      <c r="A71" s="4">
        <v>1847</v>
      </c>
      <c r="B71" s="69">
        <f>'Hide prices'!B71</f>
        <v>24.845287369310586</v>
      </c>
      <c r="C71" s="106">
        <f>(Broide!B22*1000/(60*0.4594))/XE!$E69</f>
        <v>15.336866945295228</v>
      </c>
      <c r="D71" s="51">
        <f>((Broide!J22/45.94)*1000)/XE!E69</f>
        <v>7.8731070716385467</v>
      </c>
      <c r="E71" s="56">
        <f>((Broide!H22/11.485)*1000)/XE!E69</f>
        <v>16.542579254571752</v>
      </c>
      <c r="F71" s="56">
        <f>((Broide!G22/11.485)*1000)/XE!E69</f>
        <v>19.5308836405645</v>
      </c>
      <c r="G71" s="54"/>
      <c r="H71" s="54"/>
      <c r="I71" s="54"/>
      <c r="J71" s="54"/>
      <c r="L71" s="54"/>
      <c r="M71" s="54"/>
    </row>
    <row r="72" spans="1:13">
      <c r="A72" s="4">
        <v>1848</v>
      </c>
      <c r="B72" s="69">
        <f>'Hide prices'!B72</f>
        <v>21.703201877742519</v>
      </c>
      <c r="C72" s="106">
        <f>(Broide!B23*1000/(60*0.4594))/XE!$E70</f>
        <v>11.606914964262451</v>
      </c>
      <c r="D72" s="51">
        <f>((Broide!J23/45.94)*1000)/XE!E70</f>
        <v>7.8733832216590711</v>
      </c>
      <c r="E72" s="56">
        <f>((Broide!H23/11.485)*1000)/XE!E70</f>
        <v>18.630065006179112</v>
      </c>
      <c r="F72" s="56">
        <f>((Broide!G23/11.485)*1000)/XE!E70</f>
        <v>17.715016023539818</v>
      </c>
      <c r="G72" s="54"/>
      <c r="H72" s="54"/>
      <c r="I72" s="54"/>
      <c r="J72" s="54"/>
      <c r="L72" s="54"/>
      <c r="M72" s="54"/>
    </row>
    <row r="73" spans="1:13">
      <c r="A73" s="4">
        <v>1849</v>
      </c>
      <c r="B73" s="69">
        <f>'Hide prices'!B73</f>
        <v>27.847583017174557</v>
      </c>
      <c r="C73" s="106">
        <f>(Broide!B24*1000/(60*0.4594))/XE!$E71</f>
        <v>12.67322450679087</v>
      </c>
      <c r="D73" s="51">
        <f>((Broide!J24/45.94)*1000)/XE!E71</f>
        <v>8.7748020552693298</v>
      </c>
      <c r="E73" s="56">
        <f>((Broide!H24/11.485)*1000)/XE!E71</f>
        <v>26.85914190820175</v>
      </c>
      <c r="F73" s="56">
        <f>((Broide!G24/11.485)*1000)/XE!E71</f>
        <v>19.832049609852128</v>
      </c>
      <c r="G73" s="54"/>
      <c r="H73" s="54"/>
      <c r="I73" s="54"/>
      <c r="J73" s="54"/>
      <c r="L73" s="54"/>
      <c r="M73" s="54"/>
    </row>
    <row r="74" spans="1:13">
      <c r="A74" s="4">
        <v>1850</v>
      </c>
      <c r="B74" s="69">
        <f>'Hide prices'!B74</f>
        <v>39.154211319973498</v>
      </c>
      <c r="C74" s="106">
        <f>(Broide!B25*1000/(60*0.4594))/XE!$E72</f>
        <v>19.073745565800877</v>
      </c>
      <c r="D74" s="51">
        <f>((Broide!J25/45.94)*1000)/XE!E72</f>
        <v>12.17391344716456</v>
      </c>
      <c r="E74" s="56">
        <f>((Broide!H25/11.485)*1000)/XE!E72</f>
        <v>42.210085108886858</v>
      </c>
      <c r="F74" s="56">
        <f>((Broide!G25/11.485)*1000)/XE!E72</f>
        <v>22.649841981373871</v>
      </c>
      <c r="G74" s="54"/>
      <c r="H74" s="54"/>
      <c r="I74" s="54"/>
      <c r="J74" s="54"/>
      <c r="L74" s="54"/>
      <c r="M74" s="54"/>
    </row>
    <row r="75" spans="1:13">
      <c r="A75" s="4">
        <v>1851</v>
      </c>
      <c r="B75" s="69">
        <f>'Hide prices'!B75</f>
        <v>43.390631390294445</v>
      </c>
      <c r="C75" s="106">
        <f>(Broide!B26*1000/(60*0.4594))/XE!$E73</f>
        <v>19.889425944861017</v>
      </c>
      <c r="D75" s="51">
        <f>((Broide!J26/45.94)*1000)/XE!E73</f>
        <v>8.7971185238054019</v>
      </c>
      <c r="E75" s="56">
        <f>((Broide!H26/11.485)*1000)/XE!E73</f>
        <v>40.317491596244345</v>
      </c>
      <c r="F75" s="56">
        <f>((Broide!G26/11.485)*1000)/XE!E73</f>
        <v>25.252384664890581</v>
      </c>
      <c r="G75" s="54"/>
      <c r="H75" s="54"/>
      <c r="I75" s="54"/>
      <c r="J75" s="54"/>
      <c r="L75" s="54"/>
      <c r="M75" s="54"/>
    </row>
    <row r="76" spans="1:13">
      <c r="A76" s="4">
        <v>1852</v>
      </c>
      <c r="B76" s="69"/>
    </row>
    <row r="77" spans="1:13">
      <c r="A77" s="4">
        <v>1853</v>
      </c>
      <c r="B77" s="69"/>
    </row>
    <row r="78" spans="1:13">
      <c r="A78" s="4">
        <v>1854</v>
      </c>
      <c r="B78" s="69"/>
    </row>
    <row r="79" spans="1:13">
      <c r="A79" s="4">
        <v>1855</v>
      </c>
      <c r="B79" s="69"/>
    </row>
    <row r="80" spans="1:13">
      <c r="A80" s="4">
        <v>1856</v>
      </c>
      <c r="B80" s="69"/>
    </row>
    <row r="81" spans="1:13">
      <c r="A81" s="4">
        <v>1857</v>
      </c>
      <c r="B81" s="69"/>
    </row>
    <row r="82" spans="1:13">
      <c r="A82" s="4">
        <v>1858</v>
      </c>
      <c r="B82" s="69"/>
    </row>
    <row r="83" spans="1:13">
      <c r="A83" s="4">
        <v>1859</v>
      </c>
      <c r="B83" s="69"/>
    </row>
    <row r="84" spans="1:13">
      <c r="A84" s="4">
        <v>1860</v>
      </c>
      <c r="B84" s="69"/>
    </row>
    <row r="85" spans="1:13">
      <c r="A85" s="4">
        <v>1861</v>
      </c>
      <c r="B85" s="69"/>
    </row>
    <row r="86" spans="1:13">
      <c r="A86" s="4">
        <v>1862</v>
      </c>
      <c r="B86" s="69"/>
    </row>
    <row r="87" spans="1:13">
      <c r="A87" s="4">
        <v>1863</v>
      </c>
      <c r="B87" s="69"/>
    </row>
    <row r="88" spans="1:13">
      <c r="A88" s="4">
        <v>1864</v>
      </c>
      <c r="B88" s="69">
        <f>'Hide prices'!B88</f>
        <v>71.392316002227517</v>
      </c>
      <c r="C88" s="56">
        <f>Alvarez!C4/XE!$F86*10</f>
        <v>30.791773719948612</v>
      </c>
      <c r="D88" s="56">
        <f>'Cortes Conde et al'!B4/XE!$F86</f>
        <v>10.785465222976692</v>
      </c>
      <c r="E88" s="56">
        <f>'Cortes Conde et al'!N4/XE!$F86</f>
        <v>51.608781427784905</v>
      </c>
      <c r="F88" s="56">
        <f>'Cortes Conde et al'!J4/XE!$F86</f>
        <v>31.262158194164059</v>
      </c>
      <c r="G88" s="51">
        <f>'Cortes Conde et al'!C4/XE!F86</f>
        <v>1.6351624151220403</v>
      </c>
      <c r="H88" s="56">
        <f>'Cortes Conde et al'!D4/XE!$F86</f>
        <v>55.665718480455119</v>
      </c>
      <c r="M88" s="56"/>
    </row>
    <row r="89" spans="1:13">
      <c r="A89" s="4">
        <v>1865</v>
      </c>
      <c r="B89" s="69">
        <f>'Hide prices'!B89</f>
        <v>63.010789767150847</v>
      </c>
      <c r="C89" s="106">
        <f>Alvarez!C5/XE!$F87*10</f>
        <v>26.107645602896959</v>
      </c>
      <c r="D89" s="56">
        <f>'Cortes Conde et al'!B5/XE!$F87</f>
        <v>8.7765440311108822</v>
      </c>
      <c r="E89" s="56">
        <f>'Cortes Conde et al'!N5/XE!$F87</f>
        <v>56.848999641815475</v>
      </c>
      <c r="F89" s="56">
        <f>'Cortes Conde et al'!J5/XE!$F87</f>
        <v>31.542751880468707</v>
      </c>
      <c r="G89" s="51">
        <f>'Cortes Conde et al'!C5/XE!F87</f>
        <v>1.266949802998516</v>
      </c>
      <c r="H89" s="56">
        <f>'Cortes Conde et al'!D5/XE!$F87</f>
        <v>48.043800849408989</v>
      </c>
      <c r="M89" s="56"/>
    </row>
    <row r="90" spans="1:13">
      <c r="A90" s="4">
        <v>1866</v>
      </c>
      <c r="B90" s="69">
        <f>'Hide prices'!B90</f>
        <v>67.02692683752035</v>
      </c>
      <c r="C90" s="106">
        <f>Alvarez!C6/XE!$F88*10</f>
        <v>27.922742167588464</v>
      </c>
      <c r="D90" s="56">
        <f>'Cortes Conde et al'!B6/XE!$F88</f>
        <v>8.9650987395322215</v>
      </c>
      <c r="E90" s="56">
        <f>'Cortes Conde et al'!N6/XE!$F88</f>
        <v>53.982003224855653</v>
      </c>
      <c r="F90" s="56">
        <f>'Cortes Conde et al'!J6/XE!$F88</f>
        <v>34.961596476931874</v>
      </c>
      <c r="G90" s="51">
        <f>'Cortes Conde et al'!C6/XE!F88</f>
        <v>1.4730308441839899</v>
      </c>
      <c r="H90" s="56">
        <f>'Cortes Conde et al'!D6/XE!$F88</f>
        <v>57.040414723373267</v>
      </c>
      <c r="M90" s="56"/>
    </row>
    <row r="91" spans="1:13">
      <c r="A91" s="4">
        <v>1867</v>
      </c>
      <c r="B91" s="69">
        <f>'Hide prices'!B91</f>
        <v>70.354838909223872</v>
      </c>
      <c r="C91" s="106">
        <f>Alvarez!C7/XE!$F89*10</f>
        <v>30.017343132670263</v>
      </c>
      <c r="D91" s="56">
        <f>'Cortes Conde et al'!B7/XE!$F89</f>
        <v>8.6330061722149143</v>
      </c>
      <c r="E91" s="56">
        <f>'Cortes Conde et al'!N7/XE!$F89</f>
        <v>44.753617322675304</v>
      </c>
      <c r="F91" s="56">
        <f>'Cortes Conde et al'!J7/XE!$F89</f>
        <v>33.477688960841853</v>
      </c>
      <c r="G91" s="51">
        <f>'Cortes Conde et al'!C7/XE!F89</f>
        <v>1.4206212688454922</v>
      </c>
      <c r="H91" s="56">
        <f>'Cortes Conde et al'!D7/XE!$F89</f>
        <v>53.516138824243654</v>
      </c>
      <c r="M91" s="56"/>
    </row>
    <row r="92" spans="1:13">
      <c r="A92" s="4">
        <v>1868</v>
      </c>
      <c r="B92" s="69">
        <f>'Hide prices'!B92</f>
        <v>74.963688985874384</v>
      </c>
      <c r="C92" s="106">
        <f>Alvarez!C8/XE!$F90*10</f>
        <v>34.289262022771283</v>
      </c>
      <c r="D92" s="56">
        <f>'Cortes Conde et al'!B8/XE!$F90</f>
        <v>8.551987585054313</v>
      </c>
      <c r="E92" s="56">
        <f>'Cortes Conde et al'!N8/XE!$F90</f>
        <v>39.733283309742653</v>
      </c>
      <c r="F92" s="56">
        <f>'Cortes Conde et al'!J8/XE!$F90</f>
        <v>33.141765719060686</v>
      </c>
      <c r="G92" s="51">
        <f>'Cortes Conde et al'!C8/XE!F90</f>
        <v>1.4938863213902007</v>
      </c>
      <c r="H92" s="57">
        <f>H91+(H91*(RATE((Px!$A$95-Px!$A$92),0,H$91,-H$94)))</f>
        <v>54.684049907145322</v>
      </c>
      <c r="M92" s="56"/>
    </row>
    <row r="93" spans="1:13">
      <c r="A93" s="4">
        <v>1869</v>
      </c>
      <c r="B93" s="69">
        <f>'Hide prices'!B93</f>
        <v>72.078930581649445</v>
      </c>
      <c r="C93" s="106">
        <f>Alvarez!C9/XE!$F91*10</f>
        <v>34.048723834093188</v>
      </c>
      <c r="D93" s="56">
        <f>'Cortes Conde et al'!B9/XE!$F91</f>
        <v>8.9243882572059707</v>
      </c>
      <c r="E93" s="56">
        <f>'Cortes Conde et al'!N9/XE!$F91</f>
        <v>36.61174845038952</v>
      </c>
      <c r="F93" s="56">
        <f>'Cortes Conde et al'!J9/XE!$F91</f>
        <v>35.881647301358846</v>
      </c>
      <c r="G93" s="51">
        <f>'Cortes Conde et al'!C9/XE!F91</f>
        <v>1.422546651406484</v>
      </c>
      <c r="H93" s="57">
        <f>H92+(H92*(RATE((Px!$A$95-Px!$A$92),0,H$91,-H$94)))</f>
        <v>55.877448933077488</v>
      </c>
      <c r="M93" s="56"/>
    </row>
    <row r="94" spans="1:13">
      <c r="A94" s="4">
        <v>1870</v>
      </c>
      <c r="B94" s="69">
        <f>'Hide prices'!B94</f>
        <v>77.054903129041392</v>
      </c>
      <c r="C94" s="106">
        <f>Alvarez!C10/XE!$F92*10</f>
        <v>35.65595891007225</v>
      </c>
      <c r="D94" s="56">
        <f>'Cortes Conde et al'!B10/XE!$F92</f>
        <v>12.550535387829719</v>
      </c>
      <c r="E94" s="56">
        <f>'Cortes Conde et al'!N10/XE!$F92</f>
        <v>42.567772264298767</v>
      </c>
      <c r="F94" s="56">
        <f>'Cortes Conde et al'!J10/XE!$F92</f>
        <v>35.108905719509004</v>
      </c>
      <c r="G94" s="51">
        <f>'Cortes Conde et al'!C10/XE!F92</f>
        <v>1.5126664925568032</v>
      </c>
      <c r="H94" s="56">
        <f>'Cortes Conde et al'!D10/XE!$F92</f>
        <v>57.096892138939658</v>
      </c>
      <c r="M94" s="56"/>
    </row>
    <row r="95" spans="1:13">
      <c r="A95" s="4">
        <v>1871</v>
      </c>
      <c r="B95" s="69">
        <f>'Hide prices'!B95</f>
        <v>81.22808272778947</v>
      </c>
      <c r="C95" s="106">
        <f>Alvarez!C11/XE!$F93*10</f>
        <v>42.183706473143033</v>
      </c>
      <c r="D95" s="56">
        <f>'Cortes Conde et al'!B11/XE!$F93</f>
        <v>18.396576397192014</v>
      </c>
      <c r="E95" s="56">
        <f>'Cortes Conde et al'!N11/XE!$F93</f>
        <v>49.636840678694085</v>
      </c>
      <c r="F95" s="56">
        <f>'Cortes Conde et al'!J11/XE!$F93</f>
        <v>35.482873334971067</v>
      </c>
      <c r="G95" s="51">
        <f>'Cortes Conde et al'!C11/XE!F93</f>
        <v>1.8116404101208214</v>
      </c>
      <c r="H95" s="56">
        <f>'Cortes Conde et al'!D11/XE!$F93</f>
        <v>70.348524995331204</v>
      </c>
      <c r="M95" s="56"/>
    </row>
    <row r="96" spans="1:13">
      <c r="A96" s="4">
        <v>1872</v>
      </c>
      <c r="B96" s="69">
        <f>'Hide prices'!B96</f>
        <v>97.826102301284166</v>
      </c>
      <c r="C96" s="106">
        <f>Alvarez!C12/XE!$F94*10</f>
        <v>48.933672118833314</v>
      </c>
      <c r="D96" s="56">
        <f>'Cortes Conde et al'!B12/XE!$F94</f>
        <v>13.029022059607119</v>
      </c>
      <c r="E96" s="56">
        <f>'Cortes Conde et al'!N12/XE!$F94</f>
        <v>68.36346843806615</v>
      </c>
      <c r="F96" s="56">
        <f>'Cortes Conde et al'!J12/XE!$F94</f>
        <v>36.471883769670704</v>
      </c>
      <c r="G96" s="51">
        <f>'Cortes Conde et al'!C12/XE!F94</f>
        <v>1.7455863024404106</v>
      </c>
      <c r="H96" s="56">
        <f>'Cortes Conde et al'!D12/XE!$F94</f>
        <v>62.431885190579379</v>
      </c>
      <c r="M96" s="56"/>
    </row>
    <row r="97" spans="1:25">
      <c r="A97" s="4">
        <v>1873</v>
      </c>
      <c r="B97" s="69">
        <f>'Hide prices'!B97</f>
        <v>100.52417523392177</v>
      </c>
      <c r="C97" s="106">
        <f>Alvarez!C13/XE!$F95*10</f>
        <v>52.229216018940868</v>
      </c>
      <c r="D97" s="56">
        <f>'Cortes Conde et al'!B13/XE!$F95</f>
        <v>12.602824451087516</v>
      </c>
      <c r="E97" s="56">
        <f>'Cortes Conde et al'!N13/XE!$F95</f>
        <v>55.96742603855273</v>
      </c>
      <c r="F97" s="56">
        <f>'Cortes Conde et al'!J13/XE!$F95</f>
        <v>33.617152870838055</v>
      </c>
      <c r="G97" s="51">
        <f>'Cortes Conde et al'!C13/XE!F95</f>
        <v>1.8245541696732295</v>
      </c>
      <c r="H97" s="56">
        <f>'Cortes Conde et al'!D13/XE!$F95</f>
        <v>59.835068549634059</v>
      </c>
      <c r="I97" s="51"/>
      <c r="J97" s="51"/>
      <c r="K97" s="51"/>
      <c r="L97" s="51"/>
      <c r="M97" s="56"/>
      <c r="N97" s="51"/>
      <c r="R97" s="51"/>
      <c r="T97" s="51"/>
      <c r="X97" s="51"/>
      <c r="Y97" s="51"/>
    </row>
    <row r="98" spans="1:25">
      <c r="A98" s="4">
        <v>1874</v>
      </c>
      <c r="B98" s="69">
        <f>'Hide prices'!B98</f>
        <v>93.391815499204881</v>
      </c>
      <c r="C98" s="106">
        <f>Alvarez!C14/XE!$F96*10</f>
        <v>52.961726752028099</v>
      </c>
      <c r="D98" s="56">
        <f>'Cortes Conde et al'!B14/XE!$F96</f>
        <v>17.086986074559491</v>
      </c>
      <c r="E98" s="56">
        <f>'Cortes Conde et al'!N14/XE!$F96</f>
        <v>61.603081374069752</v>
      </c>
      <c r="F98" s="56">
        <f>'Cortes Conde et al'!J14/XE!$F96</f>
        <v>33.172177004723146</v>
      </c>
      <c r="G98" s="51">
        <f>'Cortes Conde et al'!C14/XE!F96</f>
        <v>1.8509158722136045</v>
      </c>
      <c r="H98" s="56">
        <f>'Cortes Conde et al'!D14/XE!$F96</f>
        <v>57.702563745054633</v>
      </c>
      <c r="I98" s="51"/>
      <c r="J98" s="51"/>
      <c r="K98" s="51"/>
      <c r="L98" s="51"/>
      <c r="M98" s="56"/>
      <c r="N98" s="51"/>
      <c r="R98" s="51"/>
      <c r="T98" s="51"/>
      <c r="X98" s="51"/>
      <c r="Y98" s="51"/>
    </row>
    <row r="99" spans="1:25">
      <c r="A99" s="4">
        <v>1875</v>
      </c>
      <c r="B99" s="69">
        <f>'Hide prices'!B99</f>
        <v>87.080055808091444</v>
      </c>
      <c r="C99" s="106">
        <f>Alvarez!C15/XE!$F97*10</f>
        <v>51.407126188568846</v>
      </c>
      <c r="D99" s="56">
        <f>'Cortes Conde et al'!B15/XE!$F97</f>
        <v>23.585385392358329</v>
      </c>
      <c r="E99" s="56">
        <f>'Cortes Conde et al'!N15/XE!$F97</f>
        <v>62.534916930793074</v>
      </c>
      <c r="F99" s="56">
        <f>'Cortes Conde et al'!J15/XE!$F97</f>
        <v>34.291386576573437</v>
      </c>
      <c r="G99" s="51">
        <f>'Cortes Conde et al'!C15/XE!F97</f>
        <v>2.1587544843439797</v>
      </c>
      <c r="H99" s="56">
        <f>'Cortes Conde et al'!D15/XE!$F97</f>
        <v>56.907108773640758</v>
      </c>
      <c r="I99" s="51"/>
      <c r="J99" s="51"/>
      <c r="K99" s="51"/>
      <c r="L99" s="51"/>
      <c r="M99" s="56"/>
      <c r="N99" s="51"/>
      <c r="R99" s="51"/>
      <c r="T99" s="51"/>
      <c r="X99" s="51"/>
      <c r="Y99" s="51"/>
    </row>
    <row r="100" spans="1:25">
      <c r="A100" s="4">
        <v>1876</v>
      </c>
      <c r="B100" s="69">
        <f>'Hide prices'!B100</f>
        <v>79.584913933536498</v>
      </c>
      <c r="C100" s="106">
        <f>Alvarez!C16/XE!$F98*10</f>
        <v>44.047073003305222</v>
      </c>
      <c r="D100" s="56">
        <f>'Cortes Conde et al'!B16/XE!$F98</f>
        <v>23.744070833772298</v>
      </c>
      <c r="E100" s="56">
        <f>'Cortes Conde et al'!N16/XE!$F98</f>
        <v>48.919574154105142</v>
      </c>
      <c r="F100" s="56">
        <f>'Cortes Conde et al'!J16/XE!$F98</f>
        <v>34.318541161589209</v>
      </c>
      <c r="G100" s="51">
        <f>'Cortes Conde et al'!C16/XE!F98</f>
        <v>1.9647939285337639</v>
      </c>
      <c r="H100" s="56">
        <f>'Cortes Conde et al'!D16/XE!$F98</f>
        <v>45.405291451459448</v>
      </c>
      <c r="I100" s="51"/>
      <c r="J100" s="51"/>
      <c r="K100" s="51"/>
      <c r="L100" s="51"/>
      <c r="M100" s="56"/>
      <c r="N100" s="51"/>
      <c r="R100" s="51"/>
      <c r="T100" s="51"/>
      <c r="X100" s="51"/>
      <c r="Y100" s="51"/>
    </row>
    <row r="101" spans="1:25">
      <c r="A101" s="4">
        <v>1877</v>
      </c>
      <c r="B101" s="69">
        <f>'Hide prices'!B101</f>
        <v>89.422889575737344</v>
      </c>
      <c r="C101" s="106">
        <f>Alvarez!C17/XE!$F99*10</f>
        <v>47.771782924009386</v>
      </c>
      <c r="D101" s="56">
        <f>'Cortes Conde et al'!B17/XE!$F99</f>
        <v>30.339487790351402</v>
      </c>
      <c r="E101" s="56">
        <f>'Cortes Conde et al'!N17/XE!$F99</f>
        <v>55.77689801352345</v>
      </c>
      <c r="F101" s="56">
        <f>'Cortes Conde et al'!J17/XE!$F99</f>
        <v>34.411239182987067</v>
      </c>
      <c r="G101" s="51">
        <f>'Cortes Conde et al'!C17/XE!F99</f>
        <v>2.36485302876362</v>
      </c>
      <c r="H101" s="56">
        <f>'Cortes Conde et al'!D17/XE!$F99</f>
        <v>44.930105454927656</v>
      </c>
      <c r="I101" s="51"/>
      <c r="J101" s="51"/>
      <c r="K101" s="51"/>
      <c r="L101" s="51"/>
      <c r="M101" s="56"/>
      <c r="N101" s="51"/>
      <c r="R101" s="51"/>
      <c r="T101" s="51"/>
      <c r="X101" s="51"/>
      <c r="Y101" s="51"/>
    </row>
    <row r="102" spans="1:25">
      <c r="A102" s="4">
        <v>1878</v>
      </c>
      <c r="B102" s="69">
        <f>'Hide prices'!B102</f>
        <v>82.240370360232532</v>
      </c>
      <c r="C102" s="106">
        <f>Alvarez!C18/XE!$F100*10</f>
        <v>40.868466057117331</v>
      </c>
      <c r="D102" s="56">
        <f>'Cortes Conde et al'!B18/XE!$F100</f>
        <v>25.30054835667633</v>
      </c>
      <c r="E102" s="56">
        <f>'Cortes Conde et al'!N18/XE!$F100</f>
        <v>55.228249100625199</v>
      </c>
      <c r="F102" s="56">
        <f>'Cortes Conde et al'!J18/XE!$F100</f>
        <v>32.230798784534251</v>
      </c>
      <c r="G102" s="51">
        <f>'Cortes Conde et al'!C18/XE!F100</f>
        <v>2.1584995284831128</v>
      </c>
      <c r="H102" s="56">
        <f>'Cortes Conde et al'!D18/XE!$F100</f>
        <v>45.559009465264921</v>
      </c>
      <c r="I102" s="51">
        <f>'Cortes Conde et al'!F18/XE!$F100</f>
        <v>8.8226048688484511</v>
      </c>
      <c r="J102" s="51"/>
      <c r="K102" s="51"/>
      <c r="L102" s="51"/>
      <c r="M102" s="56"/>
      <c r="N102" s="51"/>
      <c r="R102" s="51"/>
      <c r="T102" s="51"/>
      <c r="X102" s="51"/>
      <c r="Y102" s="51"/>
    </row>
    <row r="103" spans="1:25">
      <c r="A103" s="4">
        <v>1879</v>
      </c>
      <c r="B103" s="69">
        <f>'Hide prices'!B103</f>
        <v>86.044393798178774</v>
      </c>
      <c r="C103" s="106">
        <f>Alvarez!C19/XE!$F101*10</f>
        <v>43.679024097024097</v>
      </c>
      <c r="D103" s="56">
        <f>'Cortes Conde et al'!B19/XE!$F101</f>
        <v>28.803255312489128</v>
      </c>
      <c r="E103" s="56">
        <f>'Cortes Conde et al'!N19/XE!$F101</f>
        <v>66.066149619170162</v>
      </c>
      <c r="F103" s="56">
        <f>'Cortes Conde et al'!J19/XE!$F101</f>
        <v>31.718429381281947</v>
      </c>
      <c r="G103" s="51">
        <f>'Cortes Conde et al'!C19/XE!F101</f>
        <v>2.416443501547664</v>
      </c>
      <c r="H103" s="56">
        <f>'Cortes Conde et al'!D19/XE!$F101</f>
        <v>40.086251869370145</v>
      </c>
      <c r="I103" s="51">
        <f>'Cortes Conde et al'!F19/XE!$F101</f>
        <v>6.8236357945257877</v>
      </c>
      <c r="J103" s="51">
        <f>'Cortes Conde et al'!G19/XE!$F100</f>
        <v>3.667353567811114</v>
      </c>
      <c r="K103" s="51"/>
      <c r="L103" s="51"/>
      <c r="M103" s="56"/>
      <c r="N103" s="51"/>
      <c r="R103" s="51"/>
      <c r="T103" s="51"/>
      <c r="X103" s="51"/>
      <c r="Y103" s="51"/>
    </row>
    <row r="104" spans="1:25">
      <c r="A104" s="4">
        <v>1880</v>
      </c>
      <c r="B104" s="57">
        <f>B103+(B103*(RATE((Px!$A$115-Px!$A$104),0,B$103,-B$114)))</f>
        <v>80.176076830927826</v>
      </c>
      <c r="C104" s="106">
        <f>Alvarez!C20/XE!$F102*10</f>
        <v>45.458385744839227</v>
      </c>
      <c r="D104" s="56">
        <f>'Cortes Conde et al'!B20/XE!$F102</f>
        <v>30.539375459993693</v>
      </c>
      <c r="E104" s="56">
        <f>'Cortes Conde et al'!N20/XE!$F102</f>
        <v>55.983597939228268</v>
      </c>
      <c r="F104" s="56">
        <f>'Cortes Conde et al'!J20/XE!$F102</f>
        <v>31.208074860687628</v>
      </c>
      <c r="G104" s="51">
        <f>'Cortes Conde et al'!C20/XE!F102</f>
        <v>3.1794763957522871</v>
      </c>
      <c r="H104" s="56">
        <f>'Cortes Conde et al'!D20/XE!$F102</f>
        <v>61.371044054252977</v>
      </c>
      <c r="I104" s="51">
        <f>'Cortes Conde et al'!F20/XE!$F102</f>
        <v>15.785932078645779</v>
      </c>
      <c r="J104" s="51">
        <f>'Cortes Conde et al'!G20/XE!$F101</f>
        <v>4.9873056724515692</v>
      </c>
      <c r="K104" s="51">
        <f>'Cortes Conde et al'!I20/XE!$F100</f>
        <v>25.067933358946597</v>
      </c>
      <c r="L104" s="51"/>
      <c r="M104" s="56"/>
      <c r="N104" s="51"/>
      <c r="R104" s="51"/>
      <c r="T104" s="51"/>
      <c r="X104" s="51"/>
      <c r="Y104" s="51"/>
    </row>
    <row r="105" spans="1:25">
      <c r="A105" s="4">
        <v>1881</v>
      </c>
      <c r="B105" s="57">
        <f>B104+(B104*(RATE((Px!$A$115-Px!$A$104),0,B$103,-B$114)))</f>
        <v>74.707985171892759</v>
      </c>
      <c r="C105" s="106">
        <f>Alvarez!C21/XE!$F103*10</f>
        <v>44.748884002704074</v>
      </c>
      <c r="D105" s="56">
        <f>'Cortes Conde et al'!B21/XE!$F103</f>
        <v>31.53077824619098</v>
      </c>
      <c r="E105" s="56">
        <f>'Cortes Conde et al'!N21/XE!$F103</f>
        <v>57.771791418125837</v>
      </c>
      <c r="F105" s="56">
        <f>'Cortes Conde et al'!J21/XE!$F103</f>
        <v>30.961918589395975</v>
      </c>
      <c r="G105" s="51">
        <f>'Cortes Conde et al'!C21/XE!F103</f>
        <v>3.0332184651984528</v>
      </c>
      <c r="H105" s="56">
        <f>'Cortes Conde et al'!D21/XE!$F103</f>
        <v>47.754823587034466</v>
      </c>
      <c r="I105" s="51">
        <f>'Cortes Conde et al'!F21/XE!$F103</f>
        <v>13.472108034355484</v>
      </c>
      <c r="J105" s="51">
        <f>'Cortes Conde et al'!G21/XE!$F102</f>
        <v>3.797707917148565</v>
      </c>
      <c r="K105" s="51">
        <f>'Cortes Conde et al'!I21/XE!$F101</f>
        <v>21.019719681424544</v>
      </c>
      <c r="L105" s="51"/>
      <c r="M105" s="56"/>
      <c r="N105" s="51"/>
      <c r="R105" s="51"/>
      <c r="T105" s="51"/>
      <c r="X105" s="51"/>
      <c r="Y105" s="51"/>
    </row>
    <row r="106" spans="1:25">
      <c r="A106" s="4">
        <v>1882</v>
      </c>
      <c r="B106" s="57">
        <f>B105+(B105*(RATE((Px!$A$115-Px!$A$104),0,B$103,-B$114)))</f>
        <v>69.612823039637377</v>
      </c>
      <c r="C106" s="106">
        <f>Alvarez!C22/XE!$F104*10</f>
        <v>43.181827487917211</v>
      </c>
      <c r="D106" s="56">
        <f>'Cortes Conde et al'!B22/XE!$F104</f>
        <v>31.912980625143238</v>
      </c>
      <c r="E106" s="56">
        <f>'Cortes Conde et al'!N22/XE!$F104</f>
        <v>63.248417749413818</v>
      </c>
      <c r="F106" s="56">
        <f>'Cortes Conde et al'!J22/XE!$F104</f>
        <v>32.452444334749572</v>
      </c>
      <c r="G106" s="51">
        <f>'Cortes Conde et al'!C22/XE!F104</f>
        <v>3.1690848509422986</v>
      </c>
      <c r="H106" s="56">
        <f>'Cortes Conde et al'!D22/XE!$F104</f>
        <v>35.139185162985029</v>
      </c>
      <c r="I106" s="51">
        <f>'Cortes Conde et al'!F22/XE!$F104</f>
        <v>11.354124429243869</v>
      </c>
      <c r="J106" s="51">
        <f>'Cortes Conde et al'!G22/XE!$F103</f>
        <v>4.3304703762660264</v>
      </c>
      <c r="K106" s="51">
        <f>'Cortes Conde et al'!I22/XE!$F102</f>
        <v>19.129429082115447</v>
      </c>
      <c r="L106" s="51"/>
      <c r="M106" s="56"/>
      <c r="N106" s="51"/>
      <c r="R106" s="51"/>
      <c r="T106" s="51"/>
      <c r="X106" s="51"/>
      <c r="Y106" s="51"/>
    </row>
    <row r="107" spans="1:25">
      <c r="A107" s="4">
        <v>1883</v>
      </c>
      <c r="B107" s="57">
        <f>B106+(B106*(RATE((Px!$A$115-Px!$A$104),0,B$103,-B$114)))</f>
        <v>64.865156253351202</v>
      </c>
      <c r="C107" s="106">
        <f>Alvarez!C23/XE!$F105*10</f>
        <v>44.801533641662743</v>
      </c>
      <c r="D107" s="56">
        <f>'Cortes Conde et al'!B23/XE!$F105</f>
        <v>25.150581313909512</v>
      </c>
      <c r="E107" s="56">
        <f>'Cortes Conde et al'!N23/XE!$F105</f>
        <v>60.487463230144279</v>
      </c>
      <c r="F107" s="56">
        <f>'Cortes Conde et al'!J23/XE!$F105</f>
        <v>34.857823224541256</v>
      </c>
      <c r="G107" s="51">
        <f>'Cortes Conde et al'!C23/XE!F105</f>
        <v>2.5465751505813139</v>
      </c>
      <c r="H107" s="56">
        <f>'Cortes Conde et al'!D23/XE!$F105</f>
        <v>42.884157445020314</v>
      </c>
      <c r="I107" s="51">
        <f>'Cortes Conde et al'!F23/XE!$F105</f>
        <v>7.6985572208992856</v>
      </c>
      <c r="J107" s="51">
        <f>'Cortes Conde et al'!G23/XE!$F104</f>
        <v>4.9969148317261078</v>
      </c>
      <c r="K107" s="51">
        <f>'Cortes Conde et al'!I23/XE!$F103</f>
        <v>15.443175258453298</v>
      </c>
      <c r="L107" s="51"/>
      <c r="M107" s="56"/>
      <c r="N107" s="51"/>
      <c r="R107" s="51"/>
      <c r="T107" s="51"/>
      <c r="X107" s="51"/>
      <c r="Y107" s="51"/>
    </row>
    <row r="108" spans="1:25">
      <c r="A108" s="4">
        <v>1884</v>
      </c>
      <c r="B108" s="57">
        <f>B107+(B107*(RATE((Px!$A$115-Px!$A$104),0,B$103,-B$114)))</f>
        <v>60.441285269754573</v>
      </c>
      <c r="C108" s="106">
        <f>Alvarez!C24/XE!$F106*10</f>
        <v>40.237822901280786</v>
      </c>
      <c r="D108" s="56">
        <f>'Cortes Conde et al'!B24/XE!$F106</f>
        <v>20.437937162701967</v>
      </c>
      <c r="E108" s="56">
        <f>'Cortes Conde et al'!N24/XE!$F106</f>
        <v>55.604650025271866</v>
      </c>
      <c r="F108" s="56">
        <f>'Cortes Conde et al'!J24/XE!$F106</f>
        <v>29.492768982440118</v>
      </c>
      <c r="G108" s="51">
        <f>'Cortes Conde et al'!C24/XE!F106</f>
        <v>2.2460991635824104</v>
      </c>
      <c r="H108" s="56">
        <f>'Cortes Conde et al'!D24/XE!$F106</f>
        <v>30.22842515448453</v>
      </c>
      <c r="I108" s="51">
        <f>'Cortes Conde et al'!F24/XE!$F106</f>
        <v>7.5600410871798207</v>
      </c>
      <c r="J108" s="51">
        <f>'Cortes Conde et al'!G24/XE!$F105</f>
        <v>3.9795489564364761</v>
      </c>
      <c r="K108" s="51">
        <f>'Cortes Conde et al'!I24/XE!$F104</f>
        <v>15.468857429966681</v>
      </c>
      <c r="L108" s="51"/>
      <c r="M108" s="56"/>
      <c r="N108" s="51"/>
      <c r="R108" s="51"/>
      <c r="T108" s="51"/>
      <c r="X108" s="51"/>
      <c r="Y108" s="51"/>
    </row>
    <row r="109" spans="1:25">
      <c r="A109" s="4">
        <v>1885</v>
      </c>
      <c r="B109" s="57">
        <f>B108+(B108*(RATE((Px!$A$115-Px!$A$104),0,B$103,-B$114)))</f>
        <v>56.319126879018569</v>
      </c>
      <c r="C109" s="106">
        <f>Alvarez!C25/XE!$F107*10</f>
        <v>39.977658208826639</v>
      </c>
      <c r="D109" s="56">
        <f>'Cortes Conde et al'!B25/XE!$F107</f>
        <v>18.430972520833009</v>
      </c>
      <c r="E109" s="56">
        <f>'Cortes Conde et al'!N25/XE!$F107</f>
        <v>45.097220696473691</v>
      </c>
      <c r="F109" s="56">
        <f>'Cortes Conde et al'!J25/XE!$F107</f>
        <v>28.082421807567368</v>
      </c>
      <c r="G109" s="51">
        <f>'Cortes Conde et al'!C25/XE!F107</f>
        <v>1.7419688956544939</v>
      </c>
      <c r="H109" s="56">
        <f>'Cortes Conde et al'!D25/XE!$F107</f>
        <v>27.250043156887052</v>
      </c>
      <c r="I109" s="51">
        <f>'Cortes Conde et al'!F25/XE!$F107</f>
        <v>5.4311765352081736</v>
      </c>
      <c r="J109" s="51">
        <f>'Cortes Conde et al'!G25/XE!$F106</f>
        <v>2.8154500839678471</v>
      </c>
      <c r="K109" s="51">
        <f>'Cortes Conde et al'!I25/XE!$F105</f>
        <v>11.484801792968202</v>
      </c>
      <c r="L109" s="51"/>
      <c r="M109" s="56"/>
      <c r="N109" s="51"/>
      <c r="R109" s="51"/>
      <c r="T109" s="51"/>
      <c r="X109" s="51"/>
      <c r="Y109" s="51"/>
    </row>
    <row r="110" spans="1:25">
      <c r="A110" s="4">
        <v>1886</v>
      </c>
      <c r="B110" s="57">
        <f>B109+(B109*(RATE((Px!$A$115-Px!$A$104),0,B$103,-B$114)))</f>
        <v>52.478103969145977</v>
      </c>
      <c r="C110" s="106">
        <f>Alvarez!C26/XE!$F108*10</f>
        <v>34.570025918246699</v>
      </c>
      <c r="D110" s="56">
        <f>'Cortes Conde et al'!B26/XE!$F108</f>
        <v>18.19810621655002</v>
      </c>
      <c r="E110" s="56">
        <f>'Cortes Conde et al'!N26/XE!$F108</f>
        <v>59.086043639357761</v>
      </c>
      <c r="F110" s="56">
        <f>'Cortes Conde et al'!J26/XE!$F108</f>
        <v>21.421160971593249</v>
      </c>
      <c r="G110" s="51">
        <f>'Cortes Conde et al'!C26/XE!F108</f>
        <v>1.7646768217373403</v>
      </c>
      <c r="H110" s="56">
        <f>'Cortes Conde et al'!D26/XE!$F108</f>
        <v>16.737752161383284</v>
      </c>
      <c r="I110" s="51">
        <f>'Cortes Conde et al'!F26/XE!$F108</f>
        <v>8.6257719226018938</v>
      </c>
      <c r="J110" s="51">
        <f>'Cortes Conde et al'!G26/XE!$F107</f>
        <v>3.2918504103827626</v>
      </c>
      <c r="K110" s="51">
        <f>'Cortes Conde et al'!I26/XE!$F106</f>
        <v>12.549198636949113</v>
      </c>
      <c r="L110" s="51"/>
      <c r="M110" s="56"/>
      <c r="N110" s="51"/>
      <c r="R110" s="51"/>
      <c r="T110" s="51"/>
      <c r="X110" s="51"/>
      <c r="Y110" s="51"/>
    </row>
    <row r="111" spans="1:25">
      <c r="A111" s="4">
        <v>1887</v>
      </c>
      <c r="B111" s="57">
        <f>B110+(B110*(RATE((Px!$A$115-Px!$A$104),0,B$103,-B$114)))</f>
        <v>48.899042808535917</v>
      </c>
      <c r="C111" s="106">
        <f>Alvarez!C27/XE!$F109*10</f>
        <v>35.894284905370903</v>
      </c>
      <c r="D111" s="56">
        <f>'Cortes Conde et al'!B27/XE!$F109</f>
        <v>22.834560094847607</v>
      </c>
      <c r="E111" s="56">
        <f>'Cortes Conde et al'!N27/XE!$F109</f>
        <v>55.722965963542968</v>
      </c>
      <c r="F111" s="56">
        <f>'Cortes Conde et al'!J27/XE!$F109</f>
        <v>22.366250061749746</v>
      </c>
      <c r="G111" s="51">
        <f>'Cortes Conde et al'!C27/XE!F109</f>
        <v>1.6795929457096284</v>
      </c>
      <c r="H111" s="56">
        <f>'Cortes Conde et al'!D27/XE!$F109</f>
        <v>31.333300400138327</v>
      </c>
      <c r="I111" s="51">
        <f>'Cortes Conde et al'!F27/XE!$F109</f>
        <v>6.4595168700291472</v>
      </c>
      <c r="J111" s="51">
        <f>'Cortes Conde et al'!G27/XE!$F108</f>
        <v>3.1440098806093042</v>
      </c>
      <c r="K111" s="51">
        <f>'Cortes Conde et al'!I27/XE!$F107</f>
        <v>10.866119489650195</v>
      </c>
      <c r="L111" s="51">
        <f>'Cortes Conde et al'!H27/XE!$F100</f>
        <v>7.527505151758584</v>
      </c>
      <c r="M111" s="56"/>
      <c r="N111" s="51"/>
      <c r="R111" s="51"/>
      <c r="T111" s="51"/>
      <c r="X111" s="51"/>
      <c r="Y111" s="51"/>
    </row>
    <row r="112" spans="1:25">
      <c r="A112" s="4">
        <v>1888</v>
      </c>
      <c r="B112" s="57">
        <f>B111+(B111*(RATE((Px!$A$115-Px!$A$104),0,B$103,-B$114)))</f>
        <v>45.564077333984159</v>
      </c>
      <c r="C112" s="106">
        <f>Alvarez!C28/XE!$F110*10</f>
        <v>33.188160289490881</v>
      </c>
      <c r="D112" s="56">
        <f>'Cortes Conde et al'!B28/XE!$F110</f>
        <v>11.303325773503071</v>
      </c>
      <c r="E112" s="56">
        <f>'Cortes Conde et al'!N28/XE!$F110</f>
        <v>44.994785372556166</v>
      </c>
      <c r="F112" s="56">
        <f>'Cortes Conde et al'!J28/XE!$F110</f>
        <v>16.122634793980829</v>
      </c>
      <c r="G112" s="51">
        <f>'Cortes Conde et al'!C28/XE!F110</f>
        <v>1.7163573758008179</v>
      </c>
      <c r="H112" s="56">
        <f>'Cortes Conde et al'!D28/XE!$F110</f>
        <v>29.122452695879616</v>
      </c>
      <c r="I112" s="51">
        <f>'Cortes Conde et al'!F28/XE!$F110</f>
        <v>6.5098415746519454</v>
      </c>
      <c r="J112" s="51">
        <f>'Cortes Conde et al'!G28/XE!$F109</f>
        <v>4.6514844637652528</v>
      </c>
      <c r="K112" s="51">
        <f>'Cortes Conde et al'!I28/XE!$F108</f>
        <v>12.910004116920543</v>
      </c>
      <c r="L112" s="51">
        <f>'Cortes Conde et al'!H28/XE!$F101</f>
        <v>7.0594372761103168</v>
      </c>
      <c r="M112" s="56"/>
      <c r="N112" s="51"/>
      <c r="R112" s="51"/>
      <c r="T112" s="51"/>
      <c r="X112" s="51"/>
      <c r="Y112" s="51"/>
    </row>
    <row r="113" spans="1:25">
      <c r="A113" s="4">
        <v>1889</v>
      </c>
      <c r="B113" s="57">
        <f>B112+(B112*(RATE((Px!$A$115-Px!$A$104),0,B$103,-B$114)))</f>
        <v>42.456559966341167</v>
      </c>
      <c r="C113" s="106">
        <f>Alvarez!C29/XE!$F111*10</f>
        <v>27.062841267343206</v>
      </c>
      <c r="D113" s="56">
        <f>'Cortes Conde et al'!B29/XE!$F111</f>
        <v>15.895097680300864</v>
      </c>
      <c r="E113" s="56">
        <f>'Cortes Conde et al'!N29/XE!$F111</f>
        <v>41.055679435550978</v>
      </c>
      <c r="F113" s="56">
        <f>'Cortes Conde et al'!J29/XE!$F111</f>
        <v>16.174659699803644</v>
      </c>
      <c r="G113" s="51">
        <f>'Cortes Conde et al'!C29/XE!F111</f>
        <v>1.6534096582021502</v>
      </c>
      <c r="H113" s="56">
        <f>'Cortes Conde et al'!D29/XE!$F111</f>
        <v>33.547442340333482</v>
      </c>
      <c r="I113" s="51">
        <f>'Cortes Conde et al'!F29/XE!$F111</f>
        <v>6.9571005424834444</v>
      </c>
      <c r="J113" s="51">
        <f>'Cortes Conde et al'!G29/XE!$F110</f>
        <v>5.5861075703146987</v>
      </c>
      <c r="K113" s="51">
        <f>'Cortes Conde et al'!I29/XE!$F109</f>
        <v>16.420491033937662</v>
      </c>
      <c r="L113" s="51">
        <f>'Cortes Conde et al'!H29/XE!$F102</f>
        <v>7.0655031016717498</v>
      </c>
      <c r="M113" s="56"/>
      <c r="N113" s="51"/>
      <c r="R113" s="51"/>
      <c r="T113" s="51"/>
      <c r="X113" s="51"/>
      <c r="Y113" s="51"/>
    </row>
    <row r="114" spans="1:25">
      <c r="A114" s="4">
        <v>1890</v>
      </c>
      <c r="B114" s="69">
        <f>'Hide prices'!B114</f>
        <v>39.56097850850113</v>
      </c>
      <c r="C114" s="106">
        <f>Alvarez!C30/XE!$F112*10</f>
        <v>26.31591140146082</v>
      </c>
      <c r="D114" s="56">
        <f>'Cortes Conde et al'!B30/XE!$F112</f>
        <v>17.772317756357108</v>
      </c>
      <c r="E114" s="56">
        <f>'Cortes Conde et al'!N30/XE!$F112</f>
        <v>44.340426673487563</v>
      </c>
      <c r="F114" s="56">
        <f>'Cortes Conde et al'!J30/XE!$F112</f>
        <v>19.599753819440153</v>
      </c>
      <c r="G114" s="51">
        <f>'Cortes Conde et al'!C30/XE!F112</f>
        <v>1.4940795944327332</v>
      </c>
      <c r="H114" s="56">
        <f>'Cortes Conde et al'!D30/XE!$F112</f>
        <v>35.946269812292904</v>
      </c>
      <c r="I114" s="51">
        <f>'Cortes Conde et al'!F30/XE!$F112</f>
        <v>6.0948004961066466</v>
      </c>
      <c r="J114" s="51">
        <f>'Cortes Conde et al'!G30/XE!$F111</f>
        <v>2.2724398442440186</v>
      </c>
      <c r="K114" s="51">
        <f>'Cortes Conde et al'!I30/XE!$F110</f>
        <v>13.40904199844389</v>
      </c>
      <c r="L114" s="51">
        <f>'Cortes Conde et al'!H30/XE!$F103</f>
        <v>7.2839225427256977</v>
      </c>
      <c r="M114" s="56"/>
      <c r="N114" s="51"/>
      <c r="R114" s="51"/>
      <c r="T114" s="51"/>
      <c r="X114" s="51"/>
      <c r="Y114" s="51"/>
    </row>
    <row r="115" spans="1:25">
      <c r="A115" s="4">
        <v>1891</v>
      </c>
      <c r="B115" s="69">
        <f>'Hide prices'!B115</f>
        <v>34.717666649846095</v>
      </c>
      <c r="C115" s="106">
        <f>Alvarez!C31/XE!$F113*10</f>
        <v>25.410892007075454</v>
      </c>
      <c r="D115" s="56">
        <f>'Cortes Conde et al'!B31/XE!$F113</f>
        <v>18.09961144471918</v>
      </c>
      <c r="E115" s="56">
        <f>'Cortes Conde et al'!N31/XE!$F113</f>
        <v>40.773073623656458</v>
      </c>
      <c r="F115" s="56">
        <f>'Cortes Conde et al'!J31/XE!$F113</f>
        <v>19.984861482565474</v>
      </c>
      <c r="G115" s="51">
        <f>'Cortes Conde et al'!C31/XE!F113</f>
        <v>1.3826512590200333</v>
      </c>
      <c r="H115" s="56">
        <f>'Cortes Conde et al'!D31/XE!$F113</f>
        <v>32.497350759448956</v>
      </c>
      <c r="I115" s="51">
        <f>'Cortes Conde et al'!F31/XE!$F113</f>
        <v>8.2837967401725781</v>
      </c>
      <c r="J115" s="51">
        <f>'Cortes Conde et al'!G31/XE!$F112</f>
        <v>4.7955135369695787</v>
      </c>
      <c r="K115" s="51">
        <f>'Cortes Conde et al'!I31/XE!$F111</f>
        <v>13.339102073418314</v>
      </c>
      <c r="L115" s="51">
        <f>'Cortes Conde et al'!H31/XE!$F104</f>
        <v>8.9275955079949938</v>
      </c>
      <c r="M115" s="56"/>
      <c r="N115" s="51"/>
      <c r="R115" s="51"/>
      <c r="T115" s="51"/>
      <c r="X115" s="51"/>
      <c r="Y115" s="51"/>
    </row>
    <row r="116" spans="1:25">
      <c r="A116" s="4">
        <v>1892</v>
      </c>
      <c r="B116" s="69">
        <f>'Hide prices'!B116</f>
        <v>37.717022550389139</v>
      </c>
      <c r="C116" s="106">
        <f>Alvarez!C32/XE!$F114*10</f>
        <v>25.320093451278144</v>
      </c>
      <c r="D116" s="56">
        <f>'Cortes Conde et al'!B32/XE!$F114</f>
        <v>16.970664538016361</v>
      </c>
      <c r="E116" s="56">
        <f>'Cortes Conde et al'!N32/XE!$F114</f>
        <v>33.446417880662537</v>
      </c>
      <c r="F116" s="56">
        <f>'Cortes Conde et al'!J32/XE!$F114</f>
        <v>19.656755138694866</v>
      </c>
      <c r="G116" s="51">
        <f>'Cortes Conde et al'!C32/XE!F114</f>
        <v>3.0732388744761518</v>
      </c>
      <c r="H116" s="56">
        <f>'Cortes Conde et al'!D32/XE!$F114</f>
        <v>31.929754540011967</v>
      </c>
      <c r="I116" s="51">
        <f>'Cortes Conde et al'!F32/XE!$F114</f>
        <v>6.2384669873562828</v>
      </c>
      <c r="J116" s="51">
        <f>'Cortes Conde et al'!G32/XE!$F113</f>
        <v>3.8751341116083049</v>
      </c>
      <c r="K116" s="51">
        <f>'Cortes Conde et al'!I32/XE!$F112</f>
        <v>10.910127587003634</v>
      </c>
      <c r="L116" s="51">
        <f>'Cortes Conde et al'!H32/XE!$F105</f>
        <v>12.445509045817815</v>
      </c>
      <c r="M116" s="56"/>
      <c r="N116" s="51"/>
      <c r="R116" s="51"/>
      <c r="T116" s="51"/>
      <c r="X116" s="51"/>
      <c r="Y116" s="51"/>
    </row>
    <row r="117" spans="1:25">
      <c r="A117" s="4">
        <v>1893</v>
      </c>
      <c r="B117" s="69">
        <f>'Hide prices'!B117</f>
        <v>39.173446898768795</v>
      </c>
      <c r="C117" s="106">
        <f>Alvarez!C33/XE!$F115*10</f>
        <v>25.767281418912201</v>
      </c>
      <c r="D117" s="56">
        <f>'Cortes Conde et al'!B33/XE!$F115</f>
        <v>20.891179346114974</v>
      </c>
      <c r="E117" s="56">
        <f>'Cortes Conde et al'!N33/XE!$F115</f>
        <v>37.125292060914383</v>
      </c>
      <c r="F117" s="56">
        <f>'Cortes Conde et al'!J33/XE!$F115</f>
        <v>23.464298142409735</v>
      </c>
      <c r="G117" s="51">
        <f>'Cortes Conde et al'!C33/XE!F115</f>
        <v>3.0622897575687285</v>
      </c>
      <c r="H117" s="56">
        <f>'Cortes Conde et al'!D33/XE!$F115</f>
        <v>31.617147496975829</v>
      </c>
      <c r="I117" s="51">
        <f>'Cortes Conde et al'!F33/XE!$F115</f>
        <v>4.6273531432603239</v>
      </c>
      <c r="J117" s="51">
        <f>'Cortes Conde et al'!G33/XE!$F114</f>
        <v>3.7273820299272304</v>
      </c>
      <c r="K117" s="51">
        <f>'Cortes Conde et al'!I33/XE!$F113</f>
        <v>7.0186256353969299</v>
      </c>
      <c r="L117" s="51">
        <f>'Cortes Conde et al'!H33/XE!$F106</f>
        <v>7.8261701385766687</v>
      </c>
      <c r="M117" s="56">
        <f>'Cortes Conde et al'!E33/XE!$F115</f>
        <v>103.82355378063535</v>
      </c>
      <c r="N117" s="51"/>
      <c r="R117" s="51"/>
      <c r="T117" s="51"/>
      <c r="X117" s="51"/>
      <c r="Y117" s="51"/>
    </row>
    <row r="118" spans="1:25">
      <c r="A118" s="4">
        <v>1894</v>
      </c>
      <c r="B118" s="69">
        <f>'Hide prices'!B118</f>
        <v>35.011670556852287</v>
      </c>
      <c r="C118" s="106">
        <f>Alvarez!C34/XE!$F116*10</f>
        <v>26.5203107098434</v>
      </c>
      <c r="D118" s="56">
        <f>'Cortes Conde et al'!B34/XE!$F116</f>
        <v>21.315105035011673</v>
      </c>
      <c r="E118" s="56">
        <f>'Cortes Conde et al'!N34/XE!$F116</f>
        <v>34.011337112370789</v>
      </c>
      <c r="F118" s="56">
        <f>'Cortes Conde et al'!J34/XE!$F116</f>
        <v>19.626542180726908</v>
      </c>
      <c r="G118" s="51">
        <f>'Cortes Conde et al'!C34/XE!F116</f>
        <v>4.783594531510504</v>
      </c>
      <c r="H118" s="56">
        <f>'Cortes Conde et al'!D34/XE!$F116</f>
        <v>27.209069689896634</v>
      </c>
      <c r="I118" s="51">
        <f>'Cortes Conde et al'!F34/XE!$F116</f>
        <v>3.3735055199534734</v>
      </c>
      <c r="J118" s="51">
        <f>'Cortes Conde et al'!G34/XE!$F115</f>
        <v>3.7903359480183334</v>
      </c>
      <c r="K118" s="51">
        <f>'Cortes Conde et al'!I34/XE!$F114</f>
        <v>4.9938273587008908</v>
      </c>
      <c r="L118" s="51">
        <f>'Cortes Conde et al'!H34/XE!$F107</f>
        <v>6.4618226175631364</v>
      </c>
      <c r="M118" s="56">
        <f>'Cortes Conde et al'!E34/XE!$F116</f>
        <v>60.91230410136712</v>
      </c>
      <c r="N118" s="51"/>
      <c r="R118" s="51"/>
      <c r="T118" s="51"/>
      <c r="X118" s="51"/>
      <c r="Y118" s="51"/>
    </row>
    <row r="119" spans="1:25">
      <c r="A119" s="4">
        <v>1895</v>
      </c>
      <c r="B119" s="69">
        <f>'Hide prices'!B119</f>
        <v>63.12740348599111</v>
      </c>
      <c r="C119" s="106">
        <f>Alvarez!C35/XE!$F117*10</f>
        <v>37.962669031299434</v>
      </c>
      <c r="D119" s="56">
        <f>'Cortes Conde et al'!B35/XE!$F117</f>
        <v>15.626030065424761</v>
      </c>
      <c r="E119" s="56">
        <f>'Cortes Conde et al'!N35/XE!$F117</f>
        <v>33.361634120761124</v>
      </c>
      <c r="F119" s="56">
        <f>'Cortes Conde et al'!J35/XE!$F117</f>
        <v>16.790690705688458</v>
      </c>
      <c r="G119" s="51">
        <f>'Cortes Conde et al'!C35/XE!F117</f>
        <v>5.0481945762373268</v>
      </c>
      <c r="H119" s="56">
        <f>'Cortes Conde et al'!D35/XE!$F117</f>
        <v>23.972431703540927</v>
      </c>
      <c r="I119" s="51">
        <f>'Cortes Conde et al'!F35/XE!$F117</f>
        <v>3.8503181473211265</v>
      </c>
      <c r="J119" s="51">
        <f>'Cortes Conde et al'!G35/XE!$F116</f>
        <v>2.6405539977843584</v>
      </c>
      <c r="K119" s="51">
        <f>'Cortes Conde et al'!I35/XE!$F115</f>
        <v>6.9399916467460425</v>
      </c>
      <c r="L119" s="51">
        <f>'Cortes Conde et al'!H35/XE!$F108</f>
        <v>5.9239493083552484</v>
      </c>
      <c r="M119" s="56">
        <f>'Cortes Conde et al'!E35/XE!$F117</f>
        <v>94.26759226889078</v>
      </c>
      <c r="N119" s="51"/>
      <c r="R119" s="51"/>
      <c r="T119" s="51"/>
      <c r="U119" s="51"/>
      <c r="X119" s="51"/>
      <c r="Y119" s="51"/>
    </row>
    <row r="120" spans="1:25">
      <c r="A120" s="4">
        <v>1896</v>
      </c>
      <c r="B120" s="69">
        <f>'Hide prices'!B120</f>
        <v>56.757833244822102</v>
      </c>
      <c r="C120" s="106">
        <f>Alvarez!C36/XE!$F118*10</f>
        <v>33.146906532129584</v>
      </c>
      <c r="D120" s="56">
        <f>'Cortes Conde et al'!B36/XE!$F118</f>
        <v>12.77748274030802</v>
      </c>
      <c r="E120" s="56">
        <f>'Cortes Conde et al'!N36/XE!$F118</f>
        <v>40.029208709506115</v>
      </c>
      <c r="F120" s="56">
        <f>'Cortes Conde et al'!J36/XE!$F118</f>
        <v>15.234997344662775</v>
      </c>
      <c r="G120" s="51">
        <f>'Cortes Conde et al'!C36/XE!F118</f>
        <v>5.0345193839617641</v>
      </c>
      <c r="H120" s="56">
        <f>'Cortes Conde et al'!D36/XE!$F118</f>
        <v>26.287838555496553</v>
      </c>
      <c r="I120" s="51">
        <f>'Cortes Conde et al'!F36/XE!$F118</f>
        <v>4.8028083062381652</v>
      </c>
      <c r="J120" s="51">
        <f>'Cortes Conde et al'!G36/XE!$F117</f>
        <v>2.034512633623518</v>
      </c>
      <c r="K120" s="51">
        <f>'Cortes Conde et al'!I36/XE!$F116</f>
        <v>7.5396507720156309</v>
      </c>
      <c r="L120" s="51">
        <f>'Cortes Conde et al'!H36/XE!$F109</f>
        <v>5.8985995672337292</v>
      </c>
      <c r="M120" s="56">
        <f>'Cortes Conde et al'!E36/XE!$F118</f>
        <v>95.193839617631454</v>
      </c>
      <c r="N120" s="51"/>
      <c r="R120" s="51"/>
      <c r="T120" s="51"/>
      <c r="U120" s="51"/>
      <c r="X120" s="51"/>
      <c r="Y120" s="51"/>
    </row>
    <row r="121" spans="1:25">
      <c r="A121" s="4">
        <v>1897</v>
      </c>
      <c r="B121" s="69">
        <f>'Hide prices'!B121</f>
        <v>58.943759477813671</v>
      </c>
      <c r="C121" s="106">
        <f>Alvarez!C37/XE!$F119*10</f>
        <v>34.081315173371927</v>
      </c>
      <c r="D121" s="56">
        <f>'Cortes Conde et al'!B37/XE!$F119</f>
        <v>13.461874559817725</v>
      </c>
      <c r="E121" s="56">
        <f>'Cortes Conde et al'!N37/XE!$F119</f>
        <v>37.185995912177752</v>
      </c>
      <c r="F121" s="56">
        <f>'Cortes Conde et al'!J37/XE!$F119</f>
        <v>17.429946594580336</v>
      </c>
      <c r="G121" s="51">
        <f>'Cortes Conde et al'!C37/XE!F119</f>
        <v>4.9093426518098502</v>
      </c>
      <c r="H121" s="56">
        <f>'Cortes Conde et al'!D37/XE!$F119</f>
        <v>21.164370013845847</v>
      </c>
      <c r="I121" s="51">
        <f>'Cortes Conde et al'!F37/XE!$F119</f>
        <v>6.7399280142969644</v>
      </c>
      <c r="J121" s="51">
        <f>'Cortes Conde et al'!G37/XE!$F118</f>
        <v>2.9100188561506193</v>
      </c>
      <c r="K121" s="51">
        <f>'Cortes Conde et al'!I37/XE!$F117</f>
        <v>11.625358728782508</v>
      </c>
      <c r="L121" s="51">
        <f>'Cortes Conde et al'!H37/XE!$F110</f>
        <v>6.1087106007091805</v>
      </c>
      <c r="M121" s="56">
        <f>'Cortes Conde et al'!E37/XE!$F119</f>
        <v>100.67910595371529</v>
      </c>
      <c r="N121" s="51"/>
      <c r="R121" s="51"/>
      <c r="T121" s="51"/>
      <c r="U121" s="51"/>
      <c r="X121" s="51"/>
      <c r="Y121" s="51"/>
    </row>
    <row r="122" spans="1:25">
      <c r="A122" s="4">
        <v>1898</v>
      </c>
      <c r="B122" s="69">
        <f>'Hide prices'!B122</f>
        <v>57.77755640782987</v>
      </c>
      <c r="C122" s="106">
        <f>Alvarez!C38/XE!$F120*10</f>
        <v>37.899416717652329</v>
      </c>
      <c r="D122" s="56">
        <f>'Cortes Conde et al'!B38/XE!$F120</f>
        <v>18.958284769629199</v>
      </c>
      <c r="E122" s="56">
        <f>'Cortes Conde et al'!N38/XE!$F120</f>
        <v>51.402101907655542</v>
      </c>
      <c r="F122" s="56">
        <f>'Cortes Conde et al'!J38/XE!$F120</f>
        <v>16.884992777805454</v>
      </c>
      <c r="G122" s="51">
        <f>'Cortes Conde et al'!C38/XE!F120</f>
        <v>5.1282562135777265</v>
      </c>
      <c r="H122" s="56">
        <f>'Cortes Conde et al'!D38/XE!$F120</f>
        <v>27.892613438262696</v>
      </c>
      <c r="I122" s="51">
        <f>'Cortes Conde et al'!F38/XE!$F120</f>
        <v>6.9077672166787432</v>
      </c>
      <c r="J122" s="51">
        <f>'Cortes Conde et al'!G38/XE!$F119</f>
        <v>2.5580859603688051</v>
      </c>
      <c r="K122" s="51">
        <f>'Cortes Conde et al'!I38/XE!$F118</f>
        <v>9.9316019289524462</v>
      </c>
      <c r="L122" s="51">
        <f>'Cortes Conde et al'!H38/XE!$F111</f>
        <v>6.8110971409856935</v>
      </c>
      <c r="M122" s="56">
        <f>'Cortes Conde et al'!E38/XE!$F120</f>
        <v>117.34820939383377</v>
      </c>
      <c r="N122" s="51"/>
      <c r="R122" s="51"/>
      <c r="T122" s="51"/>
      <c r="U122" s="51"/>
      <c r="X122" s="51"/>
      <c r="Y122" s="51"/>
    </row>
    <row r="123" spans="1:25">
      <c r="A123" s="4">
        <v>1899</v>
      </c>
      <c r="B123" s="69">
        <f>'Hide prices'!B123</f>
        <v>66.168337076391907</v>
      </c>
      <c r="C123" s="106">
        <f>Alvarez!C39/XE!$F121*10</f>
        <v>39.533914493263033</v>
      </c>
      <c r="D123" s="56">
        <f>'Cortes Conde et al'!B39/XE!$F121</f>
        <v>21.392440880618242</v>
      </c>
      <c r="E123" s="56">
        <f>'Cortes Conde et al'!N39/XE!$F121</f>
        <v>57.922434887540639</v>
      </c>
      <c r="F123" s="56">
        <f>'Cortes Conde et al'!J39/XE!$F121</f>
        <v>18.985686990916097</v>
      </c>
      <c r="G123" s="51">
        <f>'Cortes Conde et al'!C39/XE!F121</f>
        <v>5.7339188147353601</v>
      </c>
      <c r="H123" s="56">
        <f>'Cortes Conde et al'!D39/XE!$F121</f>
        <v>42.235108772165049</v>
      </c>
      <c r="I123" s="51">
        <f>'Cortes Conde et al'!F39/XE!$F121</f>
        <v>4.4695752215192028</v>
      </c>
      <c r="J123" s="51">
        <f>'Cortes Conde et al'!G39/XE!$F120</f>
        <v>2.3279117536525269</v>
      </c>
      <c r="K123" s="51">
        <f>'Cortes Conde et al'!I39/XE!$F119</f>
        <v>6.4473936440939603</v>
      </c>
      <c r="L123" s="51">
        <f>'Cortes Conde et al'!H39/XE!$F112</f>
        <v>6.8280100017446594</v>
      </c>
      <c r="M123" s="56">
        <f>'Cortes Conde et al'!E39/XE!$F121</f>
        <v>75.218717527570135</v>
      </c>
      <c r="N123" s="51"/>
      <c r="R123" s="51"/>
      <c r="T123" s="51"/>
      <c r="U123" s="51"/>
      <c r="X123" s="51"/>
      <c r="Y123" s="51"/>
    </row>
    <row r="124" spans="1:25">
      <c r="A124" s="4">
        <v>1900</v>
      </c>
      <c r="B124" s="69">
        <f>'Hide prices'!B124</f>
        <v>66.345817582307802</v>
      </c>
      <c r="C124" s="106">
        <f>Alvarez!C40/XE!$F122*10</f>
        <v>40.695911697886096</v>
      </c>
      <c r="D124" s="56">
        <f>'Cortes Conde et al'!B40/XE!$F122</f>
        <v>24.049385141474247</v>
      </c>
      <c r="E124" s="56">
        <f>'Cortes Conde et al'!N40/XE!$F122</f>
        <v>51.158220786357823</v>
      </c>
      <c r="F124" s="56">
        <f>'Cortes Conde et al'!J40/XE!$F122</f>
        <v>22.501623673999571</v>
      </c>
      <c r="G124" s="51">
        <f>'Cortes Conde et al'!C40/XE!F122</f>
        <v>7.6437575979616668</v>
      </c>
      <c r="H124" s="56">
        <f>'Cortes Conde et al'!D40/XE!$F122</f>
        <v>41.965727988809149</v>
      </c>
      <c r="I124" s="51">
        <f>'Cortes Conde et al'!F40/XE!$F122</f>
        <v>5.0358684900672666</v>
      </c>
      <c r="J124" s="51">
        <f>'Cortes Conde et al'!G40/XE!$F121</f>
        <v>3.3650427514726617</v>
      </c>
      <c r="K124" s="51">
        <f>'Cortes Conde et al'!I40/XE!$F120</f>
        <v>6.6851385324907815</v>
      </c>
      <c r="L124" s="51">
        <f>'Cortes Conde et al'!H40/XE!$F113</f>
        <v>9.6503850790685988</v>
      </c>
      <c r="M124" s="56">
        <f>'Cortes Conde et al'!E40/XE!$F122</f>
        <v>127.29604156605443</v>
      </c>
      <c r="N124" s="51"/>
      <c r="R124" s="51"/>
      <c r="T124" s="51"/>
      <c r="U124" s="51"/>
      <c r="X124" s="51"/>
      <c r="Y124" s="51"/>
    </row>
    <row r="125" spans="1:25">
      <c r="A125" s="4">
        <v>1901</v>
      </c>
      <c r="B125" s="69">
        <f>'Hide prices'!B125</f>
        <v>66.124534540050433</v>
      </c>
      <c r="C125" s="106">
        <f>Alvarez!C41/XE!$F123*10</f>
        <v>37.944611673370012</v>
      </c>
      <c r="D125" s="56">
        <f>'Cortes Conde et al'!B41/XE!$F123</f>
        <v>23.747844963134085</v>
      </c>
      <c r="E125" s="56">
        <f>'Cortes Conde et al'!N41/XE!$F123</f>
        <v>39.474343346636168</v>
      </c>
      <c r="F125" s="56">
        <f>'Cortes Conde et al'!J41/XE!$F123</f>
        <v>23.14358708901765</v>
      </c>
      <c r="G125" s="51">
        <f>'Cortes Conde et al'!C41/XE!F123</f>
        <v>9.3876801309132194</v>
      </c>
      <c r="H125" s="56">
        <f>'Cortes Conde et al'!D41/XE!$F123</f>
        <v>34.064154156995677</v>
      </c>
      <c r="I125" s="51">
        <f>'Cortes Conde et al'!F41/XE!$F123</f>
        <v>5.8145673113778988</v>
      </c>
      <c r="J125" s="51">
        <f>'Cortes Conde et al'!G41/XE!$F122</f>
        <v>3.3933569265237438</v>
      </c>
      <c r="K125" s="51">
        <f>'Cortes Conde et al'!I41/XE!$F121</f>
        <v>7.6007788453435357</v>
      </c>
      <c r="L125" s="51">
        <f>'Cortes Conde et al'!H41/XE!$F114</f>
        <v>9.7258866269291069</v>
      </c>
      <c r="M125" s="56">
        <f>'Cortes Conde et al'!E41/XE!$F123</f>
        <v>138.6611451567118</v>
      </c>
      <c r="N125" s="51"/>
      <c r="R125" s="51"/>
      <c r="T125" s="51"/>
      <c r="U125" s="51"/>
      <c r="X125" s="51"/>
      <c r="Y125" s="51"/>
    </row>
    <row r="126" spans="1:25">
      <c r="A126" s="4">
        <v>1902</v>
      </c>
      <c r="B126" s="69">
        <f>'Hide prices'!B126</f>
        <v>66.058351543863736</v>
      </c>
      <c r="C126" s="106">
        <f>Alvarez!C42/XE!$F124*10</f>
        <v>36.567301115985785</v>
      </c>
      <c r="D126" s="56">
        <f>'Cortes Conde et al'!B42/XE!$F124</f>
        <v>23.760676545965673</v>
      </c>
      <c r="E126" s="56">
        <f>'Cortes Conde et al'!N42/XE!$F124</f>
        <v>47.84226066358616</v>
      </c>
      <c r="F126" s="56">
        <f>'Cortes Conde et al'!J42/XE!$F124</f>
        <v>25.522544914674626</v>
      </c>
      <c r="G126" s="51">
        <f>'Cortes Conde et al'!C42/XE!F124</f>
        <v>7.9830516956645026</v>
      </c>
      <c r="H126" s="56">
        <f>'Cortes Conde et al'!D42/XE!$F124</f>
        <v>40.035364572038631</v>
      </c>
      <c r="I126" s="51">
        <f>'Cortes Conde et al'!F42/XE!$F124</f>
        <v>5.7686755849105094</v>
      </c>
      <c r="J126" s="51">
        <f>'Cortes Conde et al'!G42/XE!$F123</f>
        <v>3.8626571272516013</v>
      </c>
      <c r="K126" s="51">
        <f>'Cortes Conde et al'!I42/XE!$F122</f>
        <v>8.2082965578111242</v>
      </c>
      <c r="L126" s="51">
        <f>'Cortes Conde et al'!H42/XE!$F115</f>
        <v>10.405655661727982</v>
      </c>
      <c r="M126" s="56">
        <f>'Cortes Conde et al'!E42/XE!$F124</f>
        <v>143.12642834503811</v>
      </c>
      <c r="N126" s="51"/>
      <c r="R126" s="51"/>
      <c r="T126" s="51"/>
      <c r="U126" s="51"/>
      <c r="X126" s="51"/>
      <c r="Y126" s="51"/>
    </row>
    <row r="127" spans="1:25">
      <c r="A127" s="4">
        <v>1903</v>
      </c>
      <c r="B127" s="69">
        <f>'Hide prices'!B127</f>
        <v>67.705804550553324</v>
      </c>
      <c r="C127" s="106">
        <f>Alvarez!C43/XE!$F125*10</f>
        <v>39.09826047648545</v>
      </c>
      <c r="D127" s="56">
        <f>'Cortes Conde et al'!B43/XE!$F125</f>
        <v>23.847500294414083</v>
      </c>
      <c r="E127" s="56">
        <f>'Cortes Conde et al'!N43/XE!$F125</f>
        <v>51.834117430393938</v>
      </c>
      <c r="F127" s="56">
        <f>'Cortes Conde et al'!J43/XE!$F125</f>
        <v>25.314336419494715</v>
      </c>
      <c r="G127" s="51">
        <f>'Cortes Conde et al'!C43/XE!F125</f>
        <v>8.729427916087662</v>
      </c>
      <c r="H127" s="56">
        <f>'Cortes Conde et al'!D43/XE!$F125</f>
        <v>48.217783656180409</v>
      </c>
      <c r="I127" s="51">
        <f>'Cortes Conde et al'!F43/XE!$F125</f>
        <v>4.9378364222251356</v>
      </c>
      <c r="J127" s="51">
        <f>'Cortes Conde et al'!G43/XE!$F124</f>
        <v>3.1530894510582259</v>
      </c>
      <c r="K127" s="51">
        <f>'Cortes Conde et al'!I43/XE!$F123</f>
        <v>8.7091641374250113</v>
      </c>
      <c r="L127" s="51">
        <f>'Cortes Conde et al'!H43/XE!$F116</f>
        <v>7.1586726860102381</v>
      </c>
      <c r="M127" s="56">
        <f>'Cortes Conde et al'!E43/XE!$F125</f>
        <v>129.98710843978634</v>
      </c>
      <c r="N127" s="51"/>
      <c r="R127" s="51"/>
      <c r="T127" s="51"/>
      <c r="U127" s="51"/>
      <c r="X127" s="51"/>
      <c r="Y127" s="51"/>
    </row>
    <row r="128" spans="1:25">
      <c r="A128" s="4">
        <v>1904</v>
      </c>
      <c r="B128" s="69">
        <f>'Hide prices'!B128</f>
        <v>71.814245833402978</v>
      </c>
      <c r="C128" s="106">
        <f>Alvarez!C44/XE!$F126*10</f>
        <v>37.361461694053929</v>
      </c>
      <c r="D128" s="56">
        <f>'Cortes Conde et al'!B44/XE!$F126</f>
        <v>27.233403920194302</v>
      </c>
      <c r="E128" s="56">
        <f>'Cortes Conde et al'!N44/XE!$F126</f>
        <v>57.371157285902939</v>
      </c>
      <c r="F128" s="56">
        <f>'Cortes Conde et al'!J44/XE!$F126</f>
        <v>22.065829725347285</v>
      </c>
      <c r="G128" s="51">
        <f>'Cortes Conde et al'!C44/XE!F126</f>
        <v>6.776215710202103</v>
      </c>
      <c r="H128" s="56">
        <f>'Cortes Conde et al'!D44/XE!$F126</f>
        <v>46.137643971180687</v>
      </c>
      <c r="I128" s="51">
        <f>'Cortes Conde et al'!F44/XE!$F126</f>
        <v>5.8270071828640573</v>
      </c>
      <c r="J128" s="51">
        <f>'Cortes Conde et al'!G44/XE!$F125</f>
        <v>3.6113981940674655</v>
      </c>
      <c r="K128" s="51">
        <f>'Cortes Conde et al'!I44/XE!$F124</f>
        <v>8.8751960912412908</v>
      </c>
      <c r="L128" s="51">
        <f>'Cortes Conde et al'!H44/XE!$F117</f>
        <v>6.4340778115876063</v>
      </c>
      <c r="M128" s="56">
        <f>'Cortes Conde et al'!E44/XE!$F126</f>
        <v>101.70341518864612</v>
      </c>
      <c r="N128" s="51"/>
      <c r="R128" s="51"/>
      <c r="T128" s="51"/>
      <c r="U128" s="51"/>
      <c r="X128" s="51"/>
      <c r="Y128" s="51"/>
    </row>
    <row r="129" spans="1:32">
      <c r="A129" s="4">
        <v>1905</v>
      </c>
      <c r="B129" s="69">
        <f>'Hide prices'!B129</f>
        <v>81.128570711381101</v>
      </c>
      <c r="C129" s="106">
        <f>Alvarez!C45/XE!$F127*10</f>
        <v>45.577923925230536</v>
      </c>
      <c r="D129" s="56">
        <f>'Cortes Conde et al'!B45/XE!$F127</f>
        <v>29.687173895783779</v>
      </c>
      <c r="E129" s="56">
        <f>'Cortes Conde et al'!N45/XE!$F127</f>
        <v>67.674080024097606</v>
      </c>
      <c r="F129" s="56">
        <f>'Cortes Conde et al'!J45/XE!$F127</f>
        <v>22.390682263165825</v>
      </c>
      <c r="G129" s="51">
        <f>'Cortes Conde et al'!C45/XE!F127</f>
        <v>7.0164164867714245</v>
      </c>
      <c r="H129" s="56">
        <f>'Cortes Conde et al'!D45/XE!$F127</f>
        <v>62.252121090416196</v>
      </c>
      <c r="I129" s="51">
        <f>'Cortes Conde et al'!F45/XE!$F127</f>
        <v>6.01282664757729</v>
      </c>
      <c r="J129" s="51">
        <f>'Cortes Conde et al'!G45/XE!$F126</f>
        <v>4.2007726283863009</v>
      </c>
      <c r="K129" s="51">
        <f>'Cortes Conde et al'!I45/XE!$F125</f>
        <v>7.4579722706385567</v>
      </c>
      <c r="L129" s="51">
        <f>'Cortes Conde et al'!H45/XE!$F118</f>
        <v>7.9788376907771186</v>
      </c>
      <c r="M129" s="56">
        <f>'Cortes Conde et al'!E45/XE!$F127</f>
        <v>112.65625784426931</v>
      </c>
      <c r="N129" s="51"/>
      <c r="R129" s="51"/>
      <c r="T129" s="51"/>
      <c r="U129" s="51"/>
      <c r="X129" s="51"/>
      <c r="Y129" s="51"/>
    </row>
    <row r="130" spans="1:32">
      <c r="A130" s="4">
        <v>1906</v>
      </c>
      <c r="B130" s="69">
        <f>'Hide prices'!B130</f>
        <v>92.005478902883112</v>
      </c>
      <c r="C130" s="106">
        <f>Alvarez!C46/XE!$F128*10</f>
        <v>51.31794340694217</v>
      </c>
      <c r="D130" s="56">
        <f>'Cortes Conde et al'!B46/XE!$F128</f>
        <v>25.719504743389269</v>
      </c>
      <c r="E130" s="56">
        <f>'Cortes Conde et al'!N46/XE!$F128</f>
        <v>78.775932916847637</v>
      </c>
      <c r="F130" s="56">
        <f>'Cortes Conde et al'!J46/XE!$F128</f>
        <v>25.857748972705711</v>
      </c>
      <c r="G130" s="51">
        <f>'Cortes Conde et al'!C46/XE!F128</f>
        <v>7.6550963819196207</v>
      </c>
      <c r="H130" s="56">
        <f>'Cortes Conde et al'!D46/XE!$F128</f>
        <v>70.156683259279063</v>
      </c>
      <c r="I130" s="51">
        <f>'Cortes Conde et al'!F46/XE!$F128</f>
        <v>5.9350999239962183</v>
      </c>
      <c r="J130" s="51">
        <f>'Cortes Conde et al'!G46/XE!$F127</f>
        <v>3.9783139288948397</v>
      </c>
      <c r="K130" s="51">
        <f>'Cortes Conde et al'!I46/XE!$F126</f>
        <v>6.9634618112638123</v>
      </c>
      <c r="L130" s="51">
        <f>'Cortes Conde et al'!H46/XE!$F119</f>
        <v>9.5192937406454075</v>
      </c>
      <c r="M130" s="56">
        <f>'Cortes Conde et al'!E46/XE!$F128</f>
        <v>110.44666421675075</v>
      </c>
      <c r="N130" s="51"/>
      <c r="R130" s="51"/>
      <c r="T130" s="51"/>
      <c r="U130" s="51"/>
      <c r="X130" s="51"/>
      <c r="Y130" s="51"/>
    </row>
    <row r="131" spans="1:32">
      <c r="A131" s="4">
        <v>1907</v>
      </c>
      <c r="B131" s="69">
        <f>'Hide prices'!B131</f>
        <v>82.351756770361419</v>
      </c>
      <c r="C131" s="106">
        <f>Alvarez!C47/XE!$F129*10</f>
        <v>49.241585288096914</v>
      </c>
      <c r="D131" s="56">
        <f>'Cortes Conde et al'!B47/XE!$F129</f>
        <v>22.274320112090663</v>
      </c>
      <c r="E131" s="56">
        <f>'Cortes Conde et al'!N47/XE!$F129</f>
        <v>77.065590798704008</v>
      </c>
      <c r="F131" s="56">
        <f>'Cortes Conde et al'!J47/XE!$F129</f>
        <v>31.306860933481563</v>
      </c>
      <c r="G131" s="51">
        <f>'Cortes Conde et al'!C47/XE!F129</f>
        <v>8.3579985905567291</v>
      </c>
      <c r="H131" s="56">
        <f>'Cortes Conde et al'!D47/XE!$F129</f>
        <v>69.924705752313855</v>
      </c>
      <c r="I131" s="51">
        <f>'Cortes Conde et al'!F47/XE!$F129</f>
        <v>6.2134959316457046</v>
      </c>
      <c r="J131" s="51">
        <f>'Cortes Conde et al'!G47/XE!$F128</f>
        <v>4.6556919476115874</v>
      </c>
      <c r="K131" s="51">
        <f>'Cortes Conde et al'!I47/XE!$F127</f>
        <v>7.3977583156678239</v>
      </c>
      <c r="L131" s="51">
        <f>'Cortes Conde et al'!H47/XE!$F120</f>
        <v>9.4123731399100343</v>
      </c>
      <c r="M131" s="56">
        <f>'Cortes Conde et al'!E47/XE!$F129</f>
        <v>123.61213989012559</v>
      </c>
      <c r="N131" s="51"/>
      <c r="R131" s="51"/>
      <c r="T131" s="51"/>
      <c r="U131" s="51"/>
      <c r="X131" s="51"/>
      <c r="Y131" s="51"/>
    </row>
    <row r="132" spans="1:32">
      <c r="A132" s="4">
        <v>1908</v>
      </c>
      <c r="B132" s="69">
        <f>'Hide prices'!B132</f>
        <v>57.80327484988878</v>
      </c>
      <c r="C132" s="106">
        <f>Alvarez!C48/XE!$F130*10</f>
        <v>40.49569957987277</v>
      </c>
      <c r="D132" s="56">
        <f>'Cortes Conde et al'!B48/XE!$F130</f>
        <v>23.324701893387736</v>
      </c>
      <c r="E132" s="56">
        <f>'Cortes Conde et al'!N48/XE!$F130</f>
        <v>54.020119210440484</v>
      </c>
      <c r="F132" s="56">
        <f>'Cortes Conde et al'!J48/XE!$F130</f>
        <v>27.522948163008671</v>
      </c>
      <c r="G132" s="51">
        <f>'Cortes Conde et al'!C48/XE!F130</f>
        <v>8.7467594373546973</v>
      </c>
      <c r="H132" s="56">
        <f>'Cortes Conde et al'!D48/XE!$F130</f>
        <v>42.813709863003062</v>
      </c>
      <c r="I132" s="51">
        <f>'Cortes Conde et al'!F48/XE!$F130</f>
        <v>7.1114879888385039</v>
      </c>
      <c r="J132" s="51">
        <f>'Cortes Conde et al'!G48/XE!$F129</f>
        <v>4.8880799514715276</v>
      </c>
      <c r="K132" s="51">
        <f>'Cortes Conde et al'!I48/XE!$F128</f>
        <v>9.0657711179048786</v>
      </c>
      <c r="L132" s="51">
        <f>'Cortes Conde et al'!H48/XE!$F121</f>
        <v>9.3362428645305489</v>
      </c>
      <c r="M132" s="56">
        <f>'Cortes Conde et al'!E48/XE!$F130</f>
        <v>81.211687762782148</v>
      </c>
      <c r="N132" s="51"/>
      <c r="R132" s="51"/>
      <c r="T132" s="51"/>
      <c r="U132" s="51"/>
      <c r="X132" s="51"/>
      <c r="Y132" s="51"/>
    </row>
    <row r="133" spans="1:32">
      <c r="A133" s="4">
        <v>1909</v>
      </c>
      <c r="B133" s="69">
        <f>'Hide prices'!B133</f>
        <v>76.644709413824728</v>
      </c>
      <c r="C133" s="106">
        <f>Alvarez!C49/XE!$F131*10</f>
        <v>55.065454848661723</v>
      </c>
      <c r="D133" s="56">
        <f>'Cortes Conde et al'!B49/XE!$F131</f>
        <v>22.815804486879951</v>
      </c>
      <c r="E133" s="56">
        <f>'Cortes Conde et al'!N49/XE!$F131</f>
        <v>67.86964801925653</v>
      </c>
      <c r="F133" s="56">
        <f>'Cortes Conde et al'!J49/XE!$F131</f>
        <v>27.897470026713314</v>
      </c>
      <c r="G133" s="51">
        <f>'Cortes Conde et al'!C49/XE!F131</f>
        <v>9.3954806970732925</v>
      </c>
      <c r="H133" s="56">
        <f>'Cortes Conde et al'!D49/XE!$F131</f>
        <v>50.547204033785839</v>
      </c>
      <c r="I133" s="51">
        <f>'Cortes Conde et al'!F49/XE!$F131</f>
        <v>8.4403616481318569</v>
      </c>
      <c r="J133" s="51">
        <f>'Cortes Conde et al'!G49/XE!$F130</f>
        <v>5.1535258785637952</v>
      </c>
      <c r="K133" s="51">
        <f>'Cortes Conde et al'!I49/XE!$F129</f>
        <v>9.6707621543709639</v>
      </c>
      <c r="L133" s="51">
        <f>'Cortes Conde et al'!H49/XE!$F122</f>
        <v>9.8459433801742122</v>
      </c>
      <c r="M133" s="56">
        <f>'Cortes Conde et al'!E49/XE!$F131</f>
        <v>92.52873010547853</v>
      </c>
      <c r="N133" s="51"/>
      <c r="R133" s="51"/>
      <c r="T133" s="51"/>
      <c r="U133" s="51"/>
      <c r="X133" s="51"/>
      <c r="Y133" s="51"/>
    </row>
    <row r="134" spans="1:32">
      <c r="A134" s="4">
        <v>1910</v>
      </c>
      <c r="B134" s="69">
        <f>'Hide prices'!B134</f>
        <v>92.467809727133229</v>
      </c>
      <c r="C134" s="106">
        <f>Alvarez!C50/XE!$F132*10</f>
        <v>59.101674561344993</v>
      </c>
      <c r="D134" s="56">
        <f>'Cortes Conde et al'!B50/XE!$F132</f>
        <v>21.897439185403336</v>
      </c>
      <c r="E134" s="56">
        <f>'Cortes Conde et al'!N50/XE!$F132</f>
        <v>78.208866791248653</v>
      </c>
      <c r="F134" s="56">
        <f>'Cortes Conde et al'!J50/XE!$F132</f>
        <v>32.680477000464087</v>
      </c>
      <c r="G134" s="51">
        <f>'Cortes Conde et al'!C50/XE!F132</f>
        <v>10.409633731403028</v>
      </c>
      <c r="H134" s="56">
        <f>'Cortes Conde et al'!D50/XE!$F132</f>
        <v>54.039567758528861</v>
      </c>
      <c r="I134" s="51">
        <f>'Cortes Conde et al'!F50/XE!$F132</f>
        <v>7.6720698730156274</v>
      </c>
      <c r="J134" s="51">
        <f>'Cortes Conde et al'!G50/XE!$F131</f>
        <v>4.5331486361527773</v>
      </c>
      <c r="K134" s="51">
        <f>'Cortes Conde et al'!I50/XE!$F130</f>
        <v>8.6035557823792743</v>
      </c>
      <c r="L134" s="51">
        <f>'Cortes Conde et al'!H50/XE!$F123</f>
        <v>14.776081236929425</v>
      </c>
      <c r="M134" s="56">
        <f>'Cortes Conde et al'!E50/XE!$F132</f>
        <v>118.02576165824317</v>
      </c>
      <c r="N134" s="51">
        <f>'V-P'!X4/XE!$F123</f>
        <v>5.5504533538163541</v>
      </c>
      <c r="O134" s="56">
        <f>'V-P'!B4/XE!$F123</f>
        <v>28.052832835172907</v>
      </c>
      <c r="P134" s="56">
        <f>'V-P'!D4/XE!$F123</f>
        <v>35.266418421360228</v>
      </c>
      <c r="Q134" s="56">
        <f>'V-P'!C4/XE!$F123</f>
        <v>28.052832835172907</v>
      </c>
      <c r="R134" s="51">
        <f>'V-P'!Y4/XE!$F123</f>
        <v>3.6128041144154825</v>
      </c>
      <c r="S134" s="56">
        <f>'V-P'!J4/XE!$F123</f>
        <v>126.23774775827809</v>
      </c>
      <c r="T134" s="51">
        <f>'V-P'!V4/XE!$F123</f>
        <v>4.3982834338003238</v>
      </c>
      <c r="U134" s="56">
        <f>'V-P'!AA4/XE!$F123</f>
        <v>36.067927930936598</v>
      </c>
      <c r="V134" s="51">
        <f>'V-P'!AB4/XE!$F123</f>
        <v>3.2821814417152302</v>
      </c>
      <c r="W134" s="56">
        <f>'V-P'!AC4/XE!$F123</f>
        <v>16.673401572962412</v>
      </c>
      <c r="X134" s="51">
        <f>'V-P'!W4/XE!$F123</f>
        <v>2.5047172174261525</v>
      </c>
      <c r="Y134" s="56"/>
      <c r="Z134" s="56"/>
      <c r="AA134" s="56"/>
      <c r="AB134" s="56"/>
      <c r="AC134" s="56"/>
      <c r="AD134" s="56"/>
      <c r="AE134" s="56"/>
      <c r="AF134" s="56"/>
    </row>
    <row r="135" spans="1:32">
      <c r="A135" s="4">
        <v>1911</v>
      </c>
      <c r="B135" s="69">
        <f>'Hide prices'!B135</f>
        <v>89.444722361180595</v>
      </c>
      <c r="C135" s="106">
        <f>Alvarez!C51/XE!$F133*10</f>
        <v>56.711689177922302</v>
      </c>
      <c r="D135" s="56">
        <f>'Cortes Conde et al'!B51/XE!$F133</f>
        <v>27.433105991939865</v>
      </c>
      <c r="E135" s="56">
        <f>'Cortes Conde et al'!N51/XE!$F133</f>
        <v>76.523503655551011</v>
      </c>
      <c r="F135" s="56">
        <f>'Cortes Conde et al'!J51/XE!$F133</f>
        <v>30.814774069839835</v>
      </c>
      <c r="G135" s="51">
        <f>'Cortes Conde et al'!C51/XE!F133</f>
        <v>10.481240620310157</v>
      </c>
      <c r="H135" s="56">
        <f>'Cortes Conde et al'!D51/XE!$F133</f>
        <v>51.721770340006607</v>
      </c>
      <c r="I135" s="51">
        <f>'Cortes Conde et al'!F51/XE!$F133</f>
        <v>7.0618682300588196</v>
      </c>
      <c r="J135" s="51">
        <f>'Cortes Conde et al'!G51/XE!$F132</f>
        <v>4.4232573019231554</v>
      </c>
      <c r="K135" s="51">
        <f>'Cortes Conde et al'!I51/XE!$F131</f>
        <v>8.0046373004590379</v>
      </c>
      <c r="L135" s="51">
        <f>'Cortes Conde et al'!H51/XE!$F124</f>
        <v>16.166077151253727</v>
      </c>
      <c r="M135" s="56">
        <f>'Cortes Conde et al'!E51/XE!$F133</f>
        <v>102.24296931296806</v>
      </c>
      <c r="N135" s="51">
        <f>'V-P'!X5/XE!$F124</f>
        <v>4.3938812617812388</v>
      </c>
      <c r="O135" s="56">
        <f>'V-P'!B5/XE!$F124</f>
        <v>28.224932023287231</v>
      </c>
      <c r="P135" s="56">
        <f>'V-P'!D5/XE!$F124</f>
        <v>48.442791132166739</v>
      </c>
      <c r="Q135" s="56">
        <f>'V-P'!C5/XE!$F124</f>
        <v>28.224932023287231</v>
      </c>
      <c r="R135" s="51">
        <f>'V-P'!Y5/XE!$F124</f>
        <v>4.3017999232655502</v>
      </c>
      <c r="S135" s="56">
        <f>'V-P'!J5/XE!$F124</f>
        <v>133.11758720202843</v>
      </c>
      <c r="T135" s="51">
        <f>'V-P'!V5/XE!$F124</f>
        <v>4.5660333294410052</v>
      </c>
      <c r="U135" s="56">
        <f>'V-P'!AA5/XE!$F124</f>
        <v>36.031828114834767</v>
      </c>
      <c r="V135" s="51">
        <f>'V-P'!AB5/XE!$F124</f>
        <v>3.15078319181944</v>
      </c>
      <c r="W135" s="56">
        <f>'V-P'!AC5/XE!$F124</f>
        <v>14.566867399536253</v>
      </c>
      <c r="X135" s="51">
        <f>'V-P'!W5/XE!$F124</f>
        <v>2.5022102857524144</v>
      </c>
      <c r="Y135" s="56"/>
      <c r="Z135" s="56"/>
      <c r="AA135" s="56"/>
      <c r="AB135" s="56"/>
      <c r="AC135" s="56"/>
      <c r="AD135" s="56"/>
      <c r="AE135" s="56"/>
      <c r="AF135" s="56"/>
    </row>
    <row r="136" spans="1:32">
      <c r="A136" s="4">
        <v>1912</v>
      </c>
      <c r="B136" s="69">
        <f>'Hide prices'!B136</f>
        <v>109.16205414625173</v>
      </c>
      <c r="C136" s="106">
        <f>Alvarez!C52/XE!$F134*10</f>
        <v>65.774819819066565</v>
      </c>
      <c r="D136" s="56">
        <f>'Cortes Conde et al'!B52/XE!$F134</f>
        <v>31.854244653046386</v>
      </c>
      <c r="E136" s="56">
        <f>'Cortes Conde et al'!N52/XE!$F134</f>
        <v>70.733209082741482</v>
      </c>
      <c r="F136" s="56">
        <f>'Cortes Conde et al'!J52/XE!$F134</f>
        <v>30.050241041172384</v>
      </c>
      <c r="G136" s="51">
        <f>'Cortes Conde et al'!C52/XE!F134</f>
        <v>10.705506596879651</v>
      </c>
      <c r="H136" s="56">
        <f>'Cortes Conde et al'!D52/XE!$F134</f>
        <v>53.732254500857692</v>
      </c>
      <c r="I136" s="51">
        <f>'Cortes Conde et al'!F52/XE!$F134</f>
        <v>7.4673753967846412</v>
      </c>
      <c r="J136" s="51">
        <f>'Cortes Conde et al'!G52/XE!$F133</f>
        <v>4.5070251711412945</v>
      </c>
      <c r="K136" s="51">
        <f>'Cortes Conde et al'!I52/XE!$F132</f>
        <v>10.535587474590351</v>
      </c>
      <c r="L136" s="51">
        <f>'Cortes Conde et al'!H52/XE!$F125</f>
        <v>13.336773025014487</v>
      </c>
      <c r="M136" s="56">
        <f>'Cortes Conde et al'!E52/XE!$F134</f>
        <v>107.2350752567947</v>
      </c>
      <c r="N136" s="51">
        <f>'V-P'!X6/XE!$F125</f>
        <v>4.7715515076428527</v>
      </c>
      <c r="O136" s="56">
        <f>'V-P'!B6/XE!$F125</f>
        <v>29.332485057509746</v>
      </c>
      <c r="P136" s="56">
        <f>'V-P'!D6/XE!$F125</f>
        <v>39.779671516348834</v>
      </c>
      <c r="Q136" s="56">
        <f>'V-P'!C6/XE!$F125</f>
        <v>29.332485057509746</v>
      </c>
      <c r="R136" s="51">
        <f>'V-P'!Y6/XE!$F125</f>
        <v>3.6685697065077263</v>
      </c>
      <c r="S136" s="56">
        <f>'V-P'!J6/XE!$F125</f>
        <v>131.59436789499236</v>
      </c>
      <c r="T136" s="51">
        <f>'V-P'!V6/XE!$F125</f>
        <v>4.9001322640593337</v>
      </c>
      <c r="U136" s="56">
        <f>'V-P'!AA6/XE!$F125</f>
        <v>37.971504629242069</v>
      </c>
      <c r="V136" s="51">
        <f>'V-P'!AB6/XE!$F125</f>
        <v>2.5675969796916065</v>
      </c>
      <c r="W136" s="56">
        <f>'V-P'!AC6/XE!$F125</f>
        <v>12.972592877831536</v>
      </c>
      <c r="X136" s="51">
        <f>'V-P'!W6/XE!$F125</f>
        <v>4.8217783656180409</v>
      </c>
      <c r="Y136" s="56"/>
      <c r="Z136" s="56"/>
      <c r="AA136" s="56"/>
      <c r="AB136" s="56"/>
      <c r="AC136" s="56"/>
      <c r="AD136" s="56"/>
      <c r="AE136" s="56"/>
      <c r="AF136" s="56"/>
    </row>
    <row r="137" spans="1:32">
      <c r="A137" s="4">
        <v>1913</v>
      </c>
      <c r="B137" s="69">
        <f>'Hide prices'!B137</f>
        <v>130.20798501972857</v>
      </c>
      <c r="C137" s="106">
        <f>Alvarez!C53/XE!$F135*10</f>
        <v>80.450411288704657</v>
      </c>
      <c r="D137" s="56">
        <f>'Cortes Conde et al'!B53/XE!$F135</f>
        <v>33.76805721867138</v>
      </c>
      <c r="E137" s="56">
        <f>'Cortes Conde et al'!N53/XE!$F135</f>
        <v>75.636755326583412</v>
      </c>
      <c r="F137" s="56">
        <f>'Cortes Conde et al'!J53/XE!$F135</f>
        <v>31.624846865330674</v>
      </c>
      <c r="G137" s="51">
        <f>'Cortes Conde et al'!C53/XE!F135</f>
        <v>12.707817829198163</v>
      </c>
      <c r="H137" s="56">
        <f>'Cortes Conde et al'!D53/XE!$F135</f>
        <v>58.906881212135282</v>
      </c>
      <c r="I137" s="51">
        <f>'Cortes Conde et al'!F53/XE!$F135</f>
        <v>7.3220680240098188</v>
      </c>
      <c r="J137" s="51">
        <f>'Cortes Conde et al'!G53/XE!$F134</f>
        <v>4.6876312988488502</v>
      </c>
      <c r="K137" s="51">
        <f>'Cortes Conde et al'!I53/XE!$F133</f>
        <v>11.596792307055342</v>
      </c>
      <c r="L137" s="51">
        <f>'Cortes Conde et al'!H53/XE!$F126</f>
        <v>9.8471466050395495</v>
      </c>
      <c r="M137" s="56">
        <f>'Cortes Conde et al'!E53/XE!$F135</f>
        <v>117.23727257098727</v>
      </c>
      <c r="N137" s="51">
        <f>'V-P'!X7/XE!$F126</f>
        <v>4.9086441216295276</v>
      </c>
      <c r="O137" s="56">
        <f>'V-P'!B7/XE!$F126</f>
        <v>35.70652446465288</v>
      </c>
      <c r="P137" s="56">
        <f>'V-P'!D7/XE!$F126</f>
        <v>35.305327560555654</v>
      </c>
      <c r="Q137" s="56">
        <f>'V-P'!C7/XE!$F126</f>
        <v>35.70652446465288</v>
      </c>
      <c r="R137" s="51">
        <f>'V-P'!Y7/XE!$F126</f>
        <v>3.4683472359204957</v>
      </c>
      <c r="S137" s="56">
        <f>'V-P'!J7/XE!$F126</f>
        <v>121.16146503736145</v>
      </c>
      <c r="T137" s="51">
        <f>'V-P'!V7/XE!$F126</f>
        <v>4.6097524280770967</v>
      </c>
      <c r="U137" s="56">
        <f>'V-P'!AA7/XE!$F126</f>
        <v>34.502933752361209</v>
      </c>
      <c r="V137" s="51">
        <f>'V-P'!AB7/XE!$F126</f>
        <v>2.6057738921114657</v>
      </c>
      <c r="W137" s="56">
        <f>'V-P'!AC7/XE!$F126</f>
        <v>12.523361361394826</v>
      </c>
      <c r="X137" s="51">
        <f>'V-P'!W7/XE!$F126</f>
        <v>5.2015178616205002</v>
      </c>
      <c r="Y137" s="56"/>
      <c r="Z137" s="56"/>
      <c r="AA137" s="56"/>
      <c r="AB137" s="56"/>
      <c r="AC137" s="56"/>
      <c r="AD137" s="56"/>
      <c r="AE137" s="56"/>
      <c r="AF137" s="56"/>
    </row>
    <row r="138" spans="1:32">
      <c r="A138" s="4">
        <v>1914</v>
      </c>
      <c r="B138" s="56">
        <f>'V-P'!N8/XE!$F136</f>
        <v>123.22184162804754</v>
      </c>
      <c r="C138" s="106">
        <f>'V-P'!O8/XE!$F136</f>
        <v>72.91356034656458</v>
      </c>
      <c r="D138" s="56"/>
      <c r="E138" s="56">
        <f>'V-P'!K8/XE!$F136</f>
        <v>80.69917388676204</v>
      </c>
      <c r="F138" s="56">
        <f>'V-P'!H8/XE!$F136</f>
        <v>29.68567398750756</v>
      </c>
      <c r="H138" s="56">
        <f>'V-P'!P8/XE!$F136</f>
        <v>62.274833769897235</v>
      </c>
      <c r="I138" s="51">
        <f>'V-P'!R8/XE!$F136</f>
        <v>7.6365101752971984</v>
      </c>
      <c r="J138" s="51">
        <f>'V-P'!T8/XE!$F135</f>
        <v>4.4017922824851228</v>
      </c>
      <c r="K138" s="51">
        <f>'V-P'!S8/XE!$F134</f>
        <v>13.354291734251934</v>
      </c>
      <c r="L138" s="51">
        <f>'V-P'!U8/XE!$F127</f>
        <v>10.247502384657865</v>
      </c>
      <c r="M138" s="56"/>
      <c r="N138" s="51">
        <f>'V-P'!X8/XE!$F127</f>
        <v>4.885787439128471</v>
      </c>
      <c r="O138" s="56">
        <f>'V-P'!B8/XE!$F127</f>
        <v>40.765098649530607</v>
      </c>
      <c r="P138" s="56">
        <f>'V-P'!D8/XE!$F127</f>
        <v>57.432602038254942</v>
      </c>
      <c r="Q138" s="56">
        <f>'V-P'!C8/XE!$F127</f>
        <v>40.765098649530607</v>
      </c>
      <c r="R138" s="51">
        <f>'V-P'!Y8/XE!$F127</f>
        <v>3.7009890054721626</v>
      </c>
      <c r="S138" s="56">
        <f>'V-P'!J8/XE!$F127</f>
        <v>130.15111200361466</v>
      </c>
      <c r="T138" s="51">
        <f>'V-P'!V8/XE!$F127</f>
        <v>5.0323811436317092</v>
      </c>
      <c r="U138" s="56">
        <f>'V-P'!AA8/XE!$F127</f>
        <v>34.539886540488986</v>
      </c>
      <c r="V138" s="51">
        <f>'V-P'!AB8/XE!$F127</f>
        <v>2.5985240222902761</v>
      </c>
      <c r="W138" s="56">
        <f>'V-P'!AC8/XE!$F127</f>
        <v>12.99462824438978</v>
      </c>
      <c r="X138" s="51">
        <f>'V-P'!W8/XE!$F127</f>
        <v>5.6207640945830617</v>
      </c>
      <c r="Y138" s="56">
        <f>'V-P'!Z8/XE!$F127</f>
        <v>49.402078417591248</v>
      </c>
      <c r="Z138" s="56">
        <f>'V-P'!Q8/XE!$F136</f>
        <v>40.328430384847877</v>
      </c>
      <c r="AA138" s="56"/>
      <c r="AB138" s="56"/>
      <c r="AC138" s="56"/>
      <c r="AD138" s="56"/>
      <c r="AE138" s="56"/>
      <c r="AF138" s="56"/>
    </row>
    <row r="139" spans="1:32">
      <c r="A139" s="4">
        <v>1915</v>
      </c>
      <c r="B139" s="56">
        <f>'V-P'!N9/XE!$F137</f>
        <v>120.22727272727272</v>
      </c>
      <c r="C139" s="106">
        <f>'V-P'!O9/XE!$F137</f>
        <v>86.033789219629924</v>
      </c>
      <c r="D139" s="56"/>
      <c r="E139" s="56">
        <f>'V-P'!K9/XE!$F137</f>
        <v>94.997988736926786</v>
      </c>
      <c r="F139" s="56">
        <f>'V-P'!H9/XE!$F137</f>
        <v>31.319388576025741</v>
      </c>
      <c r="H139" s="56">
        <f>'V-P'!P9/XE!$F137</f>
        <v>67.679002413515676</v>
      </c>
      <c r="I139" s="51">
        <f>'V-P'!R9/XE!$F137</f>
        <v>10.621480289621882</v>
      </c>
      <c r="J139" s="51">
        <f>'V-P'!T9/XE!$F136</f>
        <v>4.3481765061454762</v>
      </c>
      <c r="K139" s="51">
        <f>'V-P'!S9/XE!$F135</f>
        <v>17.412559352638279</v>
      </c>
      <c r="L139" s="51">
        <f>'V-P'!U9/XE!$F128</f>
        <v>9.4170313700597994</v>
      </c>
      <c r="M139" s="56"/>
      <c r="N139" s="51">
        <f>'V-P'!X9/XE!$F128</f>
        <v>5.2697691511041329</v>
      </c>
      <c r="O139" s="56">
        <f>'V-P'!B9/XE!$F128</f>
        <v>43.296695954297938</v>
      </c>
      <c r="P139" s="56">
        <f>'V-P'!D9/XE!$F128</f>
        <v>70.55757859218923</v>
      </c>
      <c r="Q139" s="56">
        <f>'V-P'!C9/XE!$F128</f>
        <v>43.296695954297938</v>
      </c>
      <c r="R139" s="51">
        <f>'V-P'!Y9/XE!$F128</f>
        <v>2.234991480974176</v>
      </c>
      <c r="S139" s="56">
        <f>'V-P'!J9/XE!$F128</f>
        <v>133.91908595864098</v>
      </c>
      <c r="T139" s="51">
        <f>'V-P'!V9/XE!$F128</f>
        <v>6.4463969531954692</v>
      </c>
      <c r="U139" s="56">
        <f>'V-P'!AA9/XE!$F128</f>
        <v>35.278789296094615</v>
      </c>
      <c r="V139" s="51">
        <f>'V-P'!AB9/XE!$F128</f>
        <v>2.5657301306250631</v>
      </c>
      <c r="W139" s="56">
        <f>'V-P'!AC9/XE!$F128</f>
        <v>31.748905889820598</v>
      </c>
      <c r="X139" s="51">
        <f>'V-P'!W9/XE!$F128</f>
        <v>6.6207864230113929</v>
      </c>
      <c r="Y139" s="56">
        <f>'V-P'!Z9/XE!$F128</f>
        <v>47.969131059365921</v>
      </c>
      <c r="Z139" s="56">
        <f>'V-P'!Q9/XE!$F137</f>
        <v>40.287610619469021</v>
      </c>
      <c r="AA139" s="56"/>
      <c r="AB139" s="56"/>
      <c r="AC139" s="56"/>
      <c r="AD139" s="56"/>
      <c r="AE139" s="56"/>
      <c r="AF139" s="56"/>
    </row>
    <row r="140" spans="1:32">
      <c r="A140" s="4">
        <v>1916</v>
      </c>
      <c r="B140" s="56">
        <f>'V-P'!N10/XE!$F138</f>
        <v>159.91721502865633</v>
      </c>
      <c r="C140" s="106">
        <f>'V-P'!O10/XE!$F138</f>
        <v>104.69114837614094</v>
      </c>
      <c r="D140" s="56"/>
      <c r="E140" s="56">
        <f>'V-P'!K10/XE!$F138</f>
        <v>115.96688601146253</v>
      </c>
      <c r="F140" s="56">
        <f>'V-P'!H10/XE!$F138</f>
        <v>40.619825939291019</v>
      </c>
      <c r="H140" s="56">
        <f>'V-P'!P10/XE!$F138</f>
        <v>88.632986627043081</v>
      </c>
      <c r="I140" s="51">
        <f>'V-P'!R10/XE!$F138</f>
        <v>8.936531521969858</v>
      </c>
      <c r="J140" s="51">
        <f>'V-P'!T10/XE!$F137</f>
        <v>5.1669348350764279</v>
      </c>
      <c r="K140" s="51">
        <f>'V-P'!S10/XE!$F136</f>
        <v>13.737658674188999</v>
      </c>
      <c r="L140" s="51">
        <f>'V-P'!U10/XE!$F129</f>
        <v>11.871539313399779</v>
      </c>
      <c r="M140" s="56"/>
      <c r="N140" s="51">
        <f>'V-P'!X10/XE!$F129</f>
        <v>5.1525218967079436</v>
      </c>
      <c r="O140" s="56">
        <f>'V-P'!B10/XE!$F129</f>
        <v>46.028390214436726</v>
      </c>
      <c r="P140" s="56">
        <f>'V-P'!D10/XE!$F129</f>
        <v>84.163898117386495</v>
      </c>
      <c r="Q140" s="56">
        <f>'V-P'!C10/XE!$F129</f>
        <v>46.040471156750229</v>
      </c>
      <c r="R140" s="51">
        <f>'V-P'!Y10/XE!$F129</f>
        <v>3.2256115977046211</v>
      </c>
      <c r="S140" s="56">
        <f>'V-P'!J10/XE!$F129</f>
        <v>153.65347830464111</v>
      </c>
      <c r="T140" s="51">
        <f>'V-P'!V10/XE!$F129</f>
        <v>4.4115574348132487</v>
      </c>
      <c r="U140" s="56">
        <f>'V-P'!AA10/XE!$F129</f>
        <v>46.131078224101486</v>
      </c>
      <c r="V140" s="51">
        <f>'V-P'!AB10/XE!$F129</f>
        <v>2.8893587033121917</v>
      </c>
      <c r="W140" s="56">
        <f>'V-P'!AC10/XE!$F129</f>
        <v>40.573844759891273</v>
      </c>
      <c r="X140" s="51">
        <f>'V-P'!W10/XE!$F129</f>
        <v>6.7069364743783355</v>
      </c>
      <c r="Y140" s="56">
        <f>'V-P'!Z10/XE!$F129</f>
        <v>69.002315513943415</v>
      </c>
      <c r="Z140" s="56">
        <f>'V-P'!Q10/XE!$F138</f>
        <v>106.1685417108894</v>
      </c>
      <c r="AA140" s="56">
        <f>'V-P'!E10/XE!$F129</f>
        <v>38.95902547065338</v>
      </c>
      <c r="AB140" s="56">
        <f>'V-P'!I10/XE!$F129</f>
        <v>40.269807711668179</v>
      </c>
      <c r="AC140" s="56">
        <f>'V-P'!F10/XE!$F129</f>
        <v>10.067451927917045</v>
      </c>
      <c r="AD140" s="56">
        <f>'V-P'!G10/XE!$F129</f>
        <v>13.087687506292157</v>
      </c>
      <c r="AE140" s="56">
        <f>'V-P'!L10/XE!$F129</f>
        <v>100.67854625994161</v>
      </c>
      <c r="AF140" s="56"/>
    </row>
    <row r="141" spans="1:32">
      <c r="A141" s="4">
        <v>1917</v>
      </c>
      <c r="B141" s="56">
        <f>'V-P'!N11/XE!$F139</f>
        <v>160.40986238532108</v>
      </c>
      <c r="C141" s="106">
        <f>'V-P'!O11/XE!$F139</f>
        <v>110.81765137614678</v>
      </c>
      <c r="D141" s="56"/>
      <c r="E141" s="56">
        <f>'V-P'!K11/XE!$F139</f>
        <v>165.54964220183484</v>
      </c>
      <c r="F141" s="56">
        <f>'V-P'!H11/XE!$F139</f>
        <v>61.706513761467889</v>
      </c>
      <c r="H141" s="56">
        <f>'V-P'!P11/XE!$F139</f>
        <v>127.11583486238531</v>
      </c>
      <c r="I141" s="51">
        <f>'V-P'!R11/XE!$F139</f>
        <v>13.492963302752294</v>
      </c>
      <c r="J141" s="51">
        <f>'V-P'!T11/XE!$F138</f>
        <v>9.3228613882402893</v>
      </c>
      <c r="K141" s="51">
        <f>'V-P'!S11/XE!$F137</f>
        <v>23.592115848753014</v>
      </c>
      <c r="L141" s="51">
        <f>'V-P'!U11/XE!$F130</f>
        <v>18.362575055612236</v>
      </c>
      <c r="M141" s="56"/>
      <c r="N141" s="51">
        <f>'V-P'!X11/XE!$F130</f>
        <v>8.7848935422903889</v>
      </c>
      <c r="O141" s="56">
        <f>'V-P'!B11/XE!$F130</f>
        <v>46.015822308451391</v>
      </c>
      <c r="P141" s="56">
        <f>'V-P'!D11/XE!$F130</f>
        <v>73.056916824164986</v>
      </c>
      <c r="Q141" s="56">
        <f>'V-P'!C11/XE!$F130</f>
        <v>40.217431300071922</v>
      </c>
      <c r="R141" s="51">
        <f>'V-P'!Y11/XE!$F130</f>
        <v>3.8334810751141517</v>
      </c>
      <c r="S141" s="56">
        <f>'V-P'!J11/XE!$F130</f>
        <v>159.24400809513455</v>
      </c>
      <c r="T141" s="51">
        <f>'V-P'!V11/XE!$F130</f>
        <v>7.8215056281255748</v>
      </c>
      <c r="U141" s="56">
        <f>'V-P'!AA11/XE!$F130</f>
        <v>52.384217832711705</v>
      </c>
      <c r="V141" s="51">
        <f>'V-P'!AB11/XE!$F130</f>
        <v>3.0487213367007309</v>
      </c>
      <c r="W141" s="56">
        <f>'V-P'!AC11/XE!$F130</f>
        <v>31.261937814648178</v>
      </c>
      <c r="X141" s="51">
        <f>'V-P'!W11/XE!$F130</f>
        <v>20.873404806904279</v>
      </c>
      <c r="Y141" s="56">
        <f>'V-P'!Z11/XE!$F130</f>
        <v>68.57716302329861</v>
      </c>
      <c r="Z141" s="56">
        <f>'V-P'!Q11/XE!$F139</f>
        <v>137.09550458715594</v>
      </c>
      <c r="AA141" s="56">
        <f>'V-P'!E11/XE!$F130</f>
        <v>39.486862131830271</v>
      </c>
      <c r="AB141" s="56">
        <f>'V-P'!I11/XE!$F130</f>
        <v>57.038585693020458</v>
      </c>
      <c r="AC141" s="56">
        <f>'V-P'!F11/XE!$F130</f>
        <v>13.190386191439897</v>
      </c>
      <c r="AD141" s="56">
        <f>'V-P'!G11/XE!$F130</f>
        <v>44.139222933984513</v>
      </c>
      <c r="AE141" s="56">
        <f>'V-P'!L11/XE!$F130</f>
        <v>423.85455518573656</v>
      </c>
      <c r="AF141" s="56"/>
    </row>
    <row r="142" spans="1:32">
      <c r="A142" s="4">
        <v>1918</v>
      </c>
      <c r="B142" s="56">
        <f>'V-P'!N12/XE!$F140</f>
        <v>147.12994392523365</v>
      </c>
      <c r="C142" s="106">
        <f>'V-P'!O12/XE!$F140</f>
        <v>95.244532710280382</v>
      </c>
      <c r="D142" s="56"/>
      <c r="E142" s="56">
        <f>'V-P'!K12/XE!$F140</f>
        <v>206.59970093457946</v>
      </c>
      <c r="F142" s="56">
        <f>'V-P'!H12/XE!$F140</f>
        <v>58.66571028037383</v>
      </c>
      <c r="H142" s="56">
        <f>'V-P'!P12/XE!$F140</f>
        <v>129.67003738317757</v>
      </c>
      <c r="I142" s="51">
        <f>'V-P'!R12/XE!$F140</f>
        <v>11.876130841121496</v>
      </c>
      <c r="J142" s="51">
        <f>'V-P'!T12/XE!$F139</f>
        <v>5.1731009174311922</v>
      </c>
      <c r="K142" s="51">
        <f>'V-P'!S12/XE!$F138</f>
        <v>17.628953513054551</v>
      </c>
      <c r="L142" s="51">
        <f>'V-P'!U12/XE!$F131</f>
        <v>18.686900692070374</v>
      </c>
      <c r="M142" s="56"/>
      <c r="N142" s="51">
        <f>'V-P'!X12/XE!$F131</f>
        <v>5.5892604019011092</v>
      </c>
      <c r="O142" s="56">
        <f>'V-P'!B12/XE!$F131</f>
        <v>48.04202451430001</v>
      </c>
      <c r="P142" s="56">
        <f>'V-P'!D12/XE!$F131</f>
        <v>97.256733094305005</v>
      </c>
      <c r="Q142" s="56">
        <f>'V-P'!C12/XE!$F131</f>
        <v>57.559576419578086</v>
      </c>
      <c r="R142" s="51">
        <f>'V-P'!Y12/XE!$F131</f>
        <v>2.9056949887434338</v>
      </c>
      <c r="S142" s="56">
        <f>'V-P'!J12/XE!$F131</f>
        <v>168.69640623697157</v>
      </c>
      <c r="T142" s="51">
        <f>'V-P'!V12/XE!$F131</f>
        <v>6.2936713082631535</v>
      </c>
      <c r="U142" s="56">
        <f>'V-P'!AA12/XE!$F131</f>
        <v>64.125406487117488</v>
      </c>
      <c r="V142" s="51">
        <f>'V-P'!AB12/XE!$F131</f>
        <v>3.3399483031768535</v>
      </c>
      <c r="W142" s="56">
        <f>'V-P'!AC12/XE!$F131</f>
        <v>20.576002668223129</v>
      </c>
      <c r="X142" s="51">
        <f>'V-P'!W12/XE!$F131</f>
        <v>8.5349787375969317</v>
      </c>
      <c r="Y142" s="56">
        <f>'V-P'!Z12/XE!$F131</f>
        <v>100.85883432002001</v>
      </c>
      <c r="Z142" s="56">
        <f>'V-P'!Q12/XE!$F140</f>
        <v>76.021663551401872</v>
      </c>
      <c r="AA142" s="56">
        <f>'V-P'!E12/XE!$F131</f>
        <v>49.084632702409742</v>
      </c>
      <c r="AB142" s="56">
        <f>'V-P'!I12/XE!$F131</f>
        <v>37.720003335278918</v>
      </c>
      <c r="AC142" s="56">
        <f>'V-P'!F12/XE!$F131</f>
        <v>26.949720670391059</v>
      </c>
      <c r="AD142" s="56">
        <f>'V-P'!G12/XE!$F131</f>
        <v>41.031935295589093</v>
      </c>
      <c r="AE142" s="56">
        <f>'V-P'!L12/XE!$F131</f>
        <v>299.91895272242141</v>
      </c>
      <c r="AF142" s="56"/>
    </row>
    <row r="143" spans="1:32">
      <c r="A143" s="4">
        <v>1919</v>
      </c>
      <c r="B143" s="56">
        <f>'V-P'!N13/XE!$F141</f>
        <v>187.63998039215687</v>
      </c>
      <c r="C143" s="106">
        <f>'V-P'!O13/XE!$F141</f>
        <v>149.50843137254904</v>
      </c>
      <c r="D143" s="56"/>
      <c r="E143" s="56">
        <f>'V-P'!K13/XE!$F141</f>
        <v>205.79330392156865</v>
      </c>
      <c r="F143" s="56">
        <f>'V-P'!H13/XE!$F141</f>
        <v>71.097735294117669</v>
      </c>
      <c r="H143" s="56">
        <f>'V-P'!P13/XE!$F141</f>
        <v>120.35228431372551</v>
      </c>
      <c r="I143" s="51">
        <f>'V-P'!R13/XE!$F141</f>
        <v>13.657833333333334</v>
      </c>
      <c r="J143" s="51">
        <f>'V-P'!T13/XE!$F140</f>
        <v>6.5532990654205614</v>
      </c>
      <c r="K143" s="51">
        <f>'V-P'!S13/XE!$F139</f>
        <v>18.339100917431193</v>
      </c>
      <c r="L143" s="51">
        <f>'V-P'!U13/XE!$F132</f>
        <v>25.983054239775836</v>
      </c>
      <c r="M143" s="56"/>
      <c r="N143" s="51">
        <f>'V-P'!X13/XE!$F132</f>
        <v>6.7769697778370803</v>
      </c>
      <c r="O143" s="56">
        <f>'V-P'!B13/XE!$F132</f>
        <v>68.926546133831479</v>
      </c>
      <c r="P143" s="56">
        <f>'V-P'!D13/XE!$F132</f>
        <v>113.08292748015211</v>
      </c>
      <c r="Q143" s="56">
        <f>'V-P'!C13/XE!$F132</f>
        <v>73.185669490960038</v>
      </c>
      <c r="R143" s="51">
        <f>'V-P'!Y13/XE!$F132</f>
        <v>3.5466008406164518</v>
      </c>
      <c r="S143" s="56">
        <f>'V-P'!J13/XE!$F132</f>
        <v>168.71972780038695</v>
      </c>
      <c r="T143" s="51">
        <f>'V-P'!V13/XE!$F132</f>
        <v>6.2225632130228838</v>
      </c>
      <c r="U143" s="56">
        <f>'V-P'!AA13/XE!$F132</f>
        <v>42.831409700446997</v>
      </c>
      <c r="V143" s="51">
        <f>'V-P'!AB13/XE!$F132</f>
        <v>4.1490426312629261</v>
      </c>
      <c r="W143" s="56">
        <f>'V-P'!AC13/XE!$F132</f>
        <v>33.77476816331977</v>
      </c>
      <c r="X143" s="51">
        <f>'V-P'!W13/XE!$F132</f>
        <v>7.793715391286943</v>
      </c>
      <c r="Y143" s="56">
        <f>'V-P'!Z13/XE!$F132</f>
        <v>53.459203415838289</v>
      </c>
      <c r="Z143" s="56">
        <f>'V-P'!Q13/XE!$F141</f>
        <v>69.713480392156868</v>
      </c>
      <c r="AA143" s="56">
        <f>'V-P'!E13/XE!$F132</f>
        <v>60.472346387350719</v>
      </c>
      <c r="AB143" s="56">
        <f>'V-P'!I13/XE!$F132</f>
        <v>29.863900193475217</v>
      </c>
      <c r="AC143" s="56">
        <f>'V-P'!F13/XE!$F132</f>
        <v>18.633664687437452</v>
      </c>
      <c r="AD143" s="56">
        <f>'V-P'!G13/XE!$F132</f>
        <v>42.256988458202684</v>
      </c>
      <c r="AE143" s="56">
        <f>'V-P'!L13/XE!$F132</f>
        <v>228.16732270331576</v>
      </c>
      <c r="AF143" s="56"/>
    </row>
    <row r="144" spans="1:32">
      <c r="A144" s="4">
        <v>1920</v>
      </c>
      <c r="B144" s="56">
        <f>'V-P'!N14/XE!$F142</f>
        <v>162.83954838709676</v>
      </c>
      <c r="C144" s="106">
        <f>'V-P'!O14/XE!$F142</f>
        <v>143.01488172043008</v>
      </c>
      <c r="D144" s="56"/>
      <c r="E144" s="56">
        <f>'V-P'!K14/XE!$F142</f>
        <v>177.13322580645161</v>
      </c>
      <c r="F144" s="56">
        <f>'V-P'!H14/XE!$F142</f>
        <v>69.706086021505371</v>
      </c>
      <c r="H144" s="56">
        <f>'V-P'!P14/XE!$F142</f>
        <v>116.51690322580644</v>
      </c>
      <c r="I144" s="51">
        <f>'V-P'!R14/XE!$F142</f>
        <v>16.68083870967742</v>
      </c>
      <c r="J144" s="51">
        <f>'V-P'!T14/XE!$F141</f>
        <v>8.2454411764705888</v>
      </c>
      <c r="K144" s="51">
        <f>'V-P'!S14/XE!$F140</f>
        <v>21.997785046728971</v>
      </c>
      <c r="L144" s="51">
        <f>'V-P'!U14/XE!$F133</f>
        <v>21.798899449724864</v>
      </c>
      <c r="M144" s="56"/>
      <c r="N144" s="51">
        <f>'V-P'!X14/XE!$F133</f>
        <v>8.3521760880440237</v>
      </c>
      <c r="O144" s="56">
        <f>'V-P'!B14/XE!$F133</f>
        <v>52.366183091545771</v>
      </c>
      <c r="P144" s="56">
        <f>'V-P'!D14/XE!$F133</f>
        <v>77.342671335667831</v>
      </c>
      <c r="Q144" s="56">
        <f>'V-P'!C14/XE!$F133</f>
        <v>52.366183091545771</v>
      </c>
      <c r="R144" s="51">
        <f>'V-P'!Y14/XE!$F133</f>
        <v>5.6568284142071041</v>
      </c>
      <c r="S144" s="56">
        <f>'V-P'!J14/XE!$F133</f>
        <v>168.68234117058532</v>
      </c>
      <c r="T144" s="51">
        <f>'V-P'!V14/XE!$F133</f>
        <v>7.4417208604302152</v>
      </c>
      <c r="U144" s="56">
        <f>'V-P'!AA14/XE!$F133</f>
        <v>47.78789394697349</v>
      </c>
      <c r="V144" s="51">
        <f>'V-P'!AB14/XE!$F133</f>
        <v>4.8984492246123068</v>
      </c>
      <c r="W144" s="56">
        <f>'V-P'!AC14/XE!$F133</f>
        <v>32.728364182091049</v>
      </c>
      <c r="X144" s="51">
        <f>'V-P'!W14/XE!$F133</f>
        <v>13.134567283641822</v>
      </c>
      <c r="Y144" s="56">
        <f>'V-P'!Z14/XE!$F133</f>
        <v>75.885942971485747</v>
      </c>
      <c r="Z144" s="56">
        <f>'V-P'!Q14/XE!$F142</f>
        <v>80.953569892473112</v>
      </c>
      <c r="AA144" s="56">
        <f>'V-P'!E14/XE!$F133</f>
        <v>51.725862931465734</v>
      </c>
      <c r="AB144" s="56">
        <f>'V-P'!I14/XE!$F133</f>
        <v>29.572786393196598</v>
      </c>
      <c r="AC144" s="56">
        <f>'V-P'!F14/XE!$F133</f>
        <v>27.611805902951481</v>
      </c>
      <c r="AD144" s="56">
        <f>'V-P'!G14/XE!$F133</f>
        <v>39.617808904452232</v>
      </c>
      <c r="AE144" s="56">
        <f>'V-P'!L14/XE!$F133</f>
        <v>186.69334667333669</v>
      </c>
      <c r="AF144" s="56">
        <f>'V-P'!M14/XE!$F133</f>
        <v>138.7853926963482</v>
      </c>
    </row>
    <row r="145" spans="1:32">
      <c r="A145" s="4">
        <v>1921</v>
      </c>
      <c r="B145" s="56">
        <f>'V-P'!N15/XE!$F143</f>
        <v>75.129433333333338</v>
      </c>
      <c r="C145" s="106">
        <f>'V-P'!O15/XE!$F143</f>
        <v>67.364141666666669</v>
      </c>
      <c r="D145" s="56"/>
      <c r="E145" s="56">
        <f>'V-P'!K15/XE!$F143</f>
        <v>58.325758333333326</v>
      </c>
      <c r="F145" s="56">
        <f>'V-P'!H15/XE!$F143</f>
        <v>34.532375000000002</v>
      </c>
      <c r="H145" s="56">
        <f>'V-P'!P15/XE!$F143</f>
        <v>34.778291666666661</v>
      </c>
      <c r="I145" s="51">
        <f>'V-P'!R15/XE!$F143</f>
        <v>14.304783333333333</v>
      </c>
      <c r="J145" s="51">
        <f>'V-P'!T15/XE!$F142</f>
        <v>9.6389569892473119</v>
      </c>
      <c r="K145" s="51">
        <f>'V-P'!S15/XE!$F141</f>
        <v>23.641382352941182</v>
      </c>
      <c r="L145" s="51">
        <f>'V-P'!U15/XE!$F134</f>
        <v>16.015116804066821</v>
      </c>
      <c r="M145" s="56"/>
      <c r="N145" s="51">
        <f>'V-P'!X15/XE!$F134</f>
        <v>9.3128877443520999</v>
      </c>
      <c r="O145" s="56">
        <f>'V-P'!B15/XE!$F134</f>
        <v>48.884132372368356</v>
      </c>
      <c r="P145" s="56">
        <f>'V-P'!D15/XE!$F134</f>
        <v>57.025133358973932</v>
      </c>
      <c r="Q145" s="56">
        <f>'V-P'!C15/XE!$F134</f>
        <v>49.967726292202471</v>
      </c>
      <c r="R145" s="51">
        <f>'V-P'!Y15/XE!$F134</f>
        <v>5.2975702747445688</v>
      </c>
      <c r="S145" s="56">
        <f>'V-P'!J15/XE!$F134</f>
        <v>169.15904416314109</v>
      </c>
      <c r="T145" s="51">
        <f>'V-P'!V15/XE!$F134</f>
        <v>7.4346582833062982</v>
      </c>
      <c r="U145" s="56">
        <f>'V-P'!AA15/XE!$F134</f>
        <v>44.413304125349079</v>
      </c>
      <c r="V145" s="51">
        <f>'V-P'!AB15/XE!$F134</f>
        <v>4.8380461865186195</v>
      </c>
      <c r="W145" s="56">
        <f>'V-P'!AC15/XE!$F134</f>
        <v>22.488587147372115</v>
      </c>
      <c r="X145" s="51">
        <f>'V-P'!W15/XE!$F134</f>
        <v>13.049280112372703</v>
      </c>
      <c r="Y145" s="56">
        <f>'V-P'!Z15/XE!$F134</f>
        <v>38.730456012441259</v>
      </c>
      <c r="Z145" s="56">
        <f>'V-P'!Q15/XE!$F143</f>
        <v>41.991216666666666</v>
      </c>
      <c r="AA145" s="56">
        <f>'V-P'!E15/XE!$F134</f>
        <v>48.328288824601593</v>
      </c>
      <c r="AB145" s="56">
        <f>'V-P'!I15/XE!$F134</f>
        <v>27.103894583702612</v>
      </c>
      <c r="AC145" s="56">
        <f>'V-P'!F15/XE!$F134</f>
        <v>28.624939382284577</v>
      </c>
      <c r="AD145" s="56">
        <f>'V-P'!G15/XE!$F134</f>
        <v>36.444875503754119</v>
      </c>
      <c r="AE145" s="56">
        <f>'V-P'!L15/XE!$F134</f>
        <v>148.50454005785855</v>
      </c>
      <c r="AF145" s="56">
        <f>'V-P'!M15/XE!$F134</f>
        <v>73.347268440327085</v>
      </c>
    </row>
    <row r="146" spans="1:32">
      <c r="A146" s="4">
        <v>1922</v>
      </c>
      <c r="B146" s="56">
        <f>'V-P'!N16/XE!$F144</f>
        <v>70.371845528455282</v>
      </c>
      <c r="C146" s="106">
        <f>'V-P'!O16/XE!$F144</f>
        <v>68.12214634146342</v>
      </c>
      <c r="D146" s="56"/>
      <c r="E146" s="56">
        <f>'V-P'!K16/XE!$F144</f>
        <v>45.232056910569106</v>
      </c>
      <c r="F146" s="56">
        <f>'V-P'!H16/XE!$F144</f>
        <v>33.433593495934957</v>
      </c>
      <c r="H146" s="56">
        <f>'V-P'!P16/XE!$F144</f>
        <v>36.52669918699187</v>
      </c>
      <c r="I146" s="51">
        <f>'V-P'!R16/XE!$F144</f>
        <v>9.5949024390243913</v>
      </c>
      <c r="J146" s="51">
        <f>'V-P'!T16/XE!$F143</f>
        <v>6.5924583333333331</v>
      </c>
      <c r="K146" s="51">
        <f>'V-P'!S16/XE!$F142</f>
        <v>20.991397849462363</v>
      </c>
      <c r="L146" s="51">
        <f>'V-P'!U16/XE!$F135</f>
        <v>17.316257607169142</v>
      </c>
      <c r="M146" s="56"/>
      <c r="N146" s="51">
        <f>'V-P'!X16/XE!$F135</f>
        <v>7.2386812010967745</v>
      </c>
      <c r="O146" s="56">
        <f>'V-P'!B16/XE!$F135</f>
        <v>26.326489667625243</v>
      </c>
      <c r="P146" s="56">
        <f>'V-P'!D16/XE!$F135</f>
        <v>54.80171203103059</v>
      </c>
      <c r="Q146" s="56">
        <f>'V-P'!C16/XE!$F135</f>
        <v>26.232194208520045</v>
      </c>
      <c r="R146" s="51">
        <f>'V-P'!Y16/XE!$F135</f>
        <v>5.0598542098575567</v>
      </c>
      <c r="S146" s="56">
        <f>'V-P'!J16/XE!$F135</f>
        <v>136.71838427071501</v>
      </c>
      <c r="T146" s="51">
        <f>'V-P'!V16/XE!$F135</f>
        <v>7.1022537283488303</v>
      </c>
      <c r="U146" s="56">
        <f>'V-P'!AA16/XE!$F135</f>
        <v>29.592723868120128</v>
      </c>
      <c r="V146" s="51">
        <f>'V-P'!AB16/XE!$F135</f>
        <v>3.9202835551394393</v>
      </c>
      <c r="W146" s="56">
        <f>'V-P'!AC16/XE!$F135</f>
        <v>21.184377716846132</v>
      </c>
      <c r="X146" s="51">
        <f>'V-P'!W16/XE!$F135</f>
        <v>8.3381261285360857</v>
      </c>
      <c r="Y146" s="56">
        <f>'V-P'!Z16/XE!$F135</f>
        <v>43.408011770213363</v>
      </c>
      <c r="Z146" s="56">
        <f>'V-P'!Q16/XE!$F144</f>
        <v>30.023056910569107</v>
      </c>
      <c r="AA146" s="56">
        <f>'V-P'!E16/XE!$F135</f>
        <v>22.50852671704676</v>
      </c>
      <c r="AB146" s="56">
        <f>'V-P'!I16/XE!$F135</f>
        <v>25.826924363004093</v>
      </c>
      <c r="AC146" s="56">
        <f>'V-P'!F16/XE!$F135</f>
        <v>34.522169464321564</v>
      </c>
      <c r="AD146" s="56">
        <f>'V-P'!G16/XE!$F135</f>
        <v>14.158362870327032</v>
      </c>
      <c r="AE146" s="56">
        <f>'V-P'!L16/XE!$F135</f>
        <v>148.48726008158908</v>
      </c>
      <c r="AF146" s="56">
        <f>'V-P'!M16/XE!$F135</f>
        <v>67.355045810205354</v>
      </c>
    </row>
    <row r="147" spans="1:32">
      <c r="A147" s="4">
        <v>1923</v>
      </c>
      <c r="B147" s="56">
        <f>'V-P'!N17/XE!$F145</f>
        <v>78.683661654135321</v>
      </c>
      <c r="C147" s="106">
        <f>'V-P'!O17/XE!$F145</f>
        <v>65.311142857142855</v>
      </c>
      <c r="D147" s="56"/>
      <c r="E147" s="56">
        <f>'V-P'!K17/XE!$F145</f>
        <v>76.114977443609007</v>
      </c>
      <c r="F147" s="56">
        <f>'V-P'!H17/XE!$F145</f>
        <v>39.346097744360897</v>
      </c>
      <c r="H147" s="56">
        <f>'V-P'!P17/XE!$F145</f>
        <v>53.15042857142857</v>
      </c>
      <c r="I147" s="51">
        <f>'V-P'!R17/XE!$F145</f>
        <v>8.3495037593984964</v>
      </c>
      <c r="J147" s="51">
        <f>'V-P'!T17/XE!$F144</f>
        <v>6.791544715447154</v>
      </c>
      <c r="K147" s="51">
        <f>'V-P'!S17/XE!$F143</f>
        <v>13.601083333333333</v>
      </c>
      <c r="L147" s="51">
        <f>'V-P'!U17/XE!$F136</f>
        <v>17.89240378803143</v>
      </c>
      <c r="M147" s="56"/>
      <c r="N147" s="51">
        <f>'V-P'!X17/XE!$F136</f>
        <v>6.7519645375780772</v>
      </c>
      <c r="O147" s="56">
        <f>'V-P'!B17/XE!$F136</f>
        <v>34.545637719121494</v>
      </c>
      <c r="P147" s="56">
        <f>'V-P'!D17/XE!$F136</f>
        <v>42.008865605480558</v>
      </c>
      <c r="Q147" s="56">
        <f>'V-P'!C17/XE!$F136</f>
        <v>29.200080596413457</v>
      </c>
      <c r="R147" s="51">
        <f>'V-P'!Y17/XE!$F136</f>
        <v>4.4992947813822282</v>
      </c>
      <c r="S147" s="56">
        <f>'V-P'!J17/XE!$F136</f>
        <v>168.1402377594197</v>
      </c>
      <c r="T147" s="51">
        <f>'V-P'!V17/XE!$F136</f>
        <v>6.7257707032037075</v>
      </c>
      <c r="U147" s="56">
        <f>'V-P'!AA17/XE!$F136</f>
        <v>62.663711464839814</v>
      </c>
      <c r="V147" s="51">
        <f>'V-P'!AB17/XE!$F136</f>
        <v>3.6953455571227081</v>
      </c>
      <c r="W147" s="56">
        <f>'V-P'!AC17/XE!$F136</f>
        <v>18.462623413258108</v>
      </c>
      <c r="X147" s="51">
        <f>'V-P'!W17/XE!$F136</f>
        <v>7.0864396534354226</v>
      </c>
      <c r="Y147" s="56">
        <f>'V-P'!Z17/XE!$F136</f>
        <v>50.499697763449525</v>
      </c>
      <c r="Z147" s="56">
        <f>'V-P'!Q17/XE!$F145</f>
        <v>33.246112781954885</v>
      </c>
      <c r="AA147" s="56">
        <f>'V-P'!E17/XE!$F136</f>
        <v>36.528309490227684</v>
      </c>
      <c r="AB147" s="56">
        <f>'V-P'!I17/XE!$F136</f>
        <v>33.655047350392906</v>
      </c>
      <c r="AC147" s="56">
        <f>'V-P'!F17/XE!$F136</f>
        <v>36.13540197461213</v>
      </c>
      <c r="AD147" s="56">
        <f>'V-P'!G17/XE!$F136</f>
        <v>27.040096715696148</v>
      </c>
      <c r="AE147" s="56">
        <f>'V-P'!L17/XE!$F136</f>
        <v>305.80294176909126</v>
      </c>
      <c r="AF147" s="56">
        <f>'V-P'!M17/XE!$F136</f>
        <v>94.136610920814022</v>
      </c>
    </row>
    <row r="148" spans="1:32">
      <c r="A148" s="4">
        <v>1924</v>
      </c>
      <c r="B148" s="56">
        <f>'V-P'!N18/XE!$F146</f>
        <v>86.031226562499995</v>
      </c>
      <c r="C148" s="106">
        <f>'V-P'!O18/XE!$F146</f>
        <v>65.12771875</v>
      </c>
      <c r="D148" s="56"/>
      <c r="E148" s="56">
        <f>'V-P'!K18/XE!$F146</f>
        <v>108.80393749999999</v>
      </c>
      <c r="F148" s="56">
        <f>'V-P'!H18/XE!$F146</f>
        <v>38.618374999999993</v>
      </c>
      <c r="H148" s="56">
        <f>'V-P'!P18/XE!$F146</f>
        <v>89.993085937499998</v>
      </c>
      <c r="I148" s="51">
        <f>'V-P'!R18/XE!$F146</f>
        <v>8.4947656249999994</v>
      </c>
      <c r="J148" s="51">
        <f>'V-P'!T18/XE!$F145</f>
        <v>6.72636842105263</v>
      </c>
      <c r="K148" s="51">
        <f>'V-P'!S18/XE!$F144</f>
        <v>13.440983739837398</v>
      </c>
      <c r="L148" s="51">
        <f>'V-P'!U18/XE!$F137</f>
        <v>17.888173773129523</v>
      </c>
      <c r="M148" s="56"/>
      <c r="N148" s="51">
        <f>'V-P'!X18/XE!$F137</f>
        <v>7.6005631536604978</v>
      </c>
      <c r="O148" s="56">
        <f>'V-P'!B18/XE!$F137</f>
        <v>34.026548672566371</v>
      </c>
      <c r="P148" s="56">
        <f>'V-P'!D18/XE!$F137</f>
        <v>52.186242960579243</v>
      </c>
      <c r="Q148" s="56">
        <f>'V-P'!C18/XE!$F137</f>
        <v>29.93362831858407</v>
      </c>
      <c r="R148" s="51">
        <f>'V-P'!Y18/XE!$F137</f>
        <v>5.2815768302493966</v>
      </c>
      <c r="S148" s="56">
        <f>'V-P'!J18/XE!$F137</f>
        <v>152.49396621078037</v>
      </c>
      <c r="T148" s="51">
        <f>'V-P'!V18/XE!$F137</f>
        <v>6.5647626709573608</v>
      </c>
      <c r="U148" s="56">
        <f>'V-P'!AA18/XE!$F137</f>
        <v>37.1781979082864</v>
      </c>
      <c r="V148" s="51">
        <f>'V-P'!AB18/XE!$F137</f>
        <v>3.9098954143201929</v>
      </c>
      <c r="W148" s="56">
        <f>'V-P'!AC18/XE!$F137</f>
        <v>15.6858407079646</v>
      </c>
      <c r="X148" s="51">
        <f>'V-P'!W18/XE!$F137</f>
        <v>7.4014481094127103</v>
      </c>
      <c r="Y148" s="56">
        <f>'V-P'!Z18/XE!$F137</f>
        <v>79.098954143201922</v>
      </c>
      <c r="Z148" s="56">
        <f>'V-P'!Q18/XE!$F146</f>
        <v>53.653578125000003</v>
      </c>
      <c r="AA148" s="56">
        <f>'V-P'!E18/XE!$F137</f>
        <v>46.842316975060335</v>
      </c>
      <c r="AB148" s="56">
        <f>'V-P'!I18/XE!$F137</f>
        <v>27.42558326629123</v>
      </c>
      <c r="AC148" s="56">
        <f>'V-P'!F18/XE!$F137</f>
        <v>43.543845534995974</v>
      </c>
      <c r="AD148" s="56">
        <f>'V-P'!G18/XE!$F137</f>
        <v>25.760257441673371</v>
      </c>
      <c r="AE148" s="56">
        <f>'V-P'!L18/XE!$F137</f>
        <v>212.78962188254221</v>
      </c>
      <c r="AF148" s="56">
        <f>'V-P'!M18/XE!$F137</f>
        <v>151.6733708769107</v>
      </c>
    </row>
    <row r="149" spans="1:32">
      <c r="A149" s="4">
        <v>1925</v>
      </c>
      <c r="B149" s="56">
        <f>'V-P'!N19/XE!$F147</f>
        <v>103.75224166666666</v>
      </c>
      <c r="C149" s="106">
        <f>'V-P'!O19/XE!$F147</f>
        <v>73.377749999999992</v>
      </c>
      <c r="D149" s="56"/>
      <c r="E149" s="56">
        <f>'V-P'!K19/XE!$F147</f>
        <v>125.53100000000001</v>
      </c>
      <c r="F149" s="56">
        <f>'V-P'!H19/XE!$F147</f>
        <v>42.863275000000002</v>
      </c>
      <c r="H149" s="56">
        <f>'V-P'!P19/XE!$F147</f>
        <v>102.24458333333332</v>
      </c>
      <c r="I149" s="51">
        <f>'V-P'!R19/XE!$F147</f>
        <v>12.136933333333332</v>
      </c>
      <c r="J149" s="51">
        <f>'V-P'!T19/XE!$F146</f>
        <v>7.0157187500000004</v>
      </c>
      <c r="K149" s="51">
        <f>'V-P'!S19/XE!$F145</f>
        <v>15.703962406015037</v>
      </c>
      <c r="L149" s="51">
        <f>'V-P'!U19/XE!$F138</f>
        <v>19.254935257907025</v>
      </c>
      <c r="M149" s="56"/>
      <c r="N149" s="51">
        <f>'V-P'!X19/XE!$F138</f>
        <v>10.403311398853745</v>
      </c>
      <c r="O149" s="56">
        <f>'V-P'!B19/XE!$F138</f>
        <v>39.802589683718949</v>
      </c>
      <c r="P149" s="56">
        <f>'V-P'!D19/XE!$F138</f>
        <v>52.092973890893646</v>
      </c>
      <c r="Q149" s="56">
        <f>'V-P'!C19/XE!$F138</f>
        <v>34.030991296964551</v>
      </c>
      <c r="R149" s="51">
        <f>'V-P'!Y19/XE!$F138</f>
        <v>6.1388240288686058</v>
      </c>
      <c r="S149" s="56">
        <f>'V-P'!J19/XE!$F138</f>
        <v>162.0144343026958</v>
      </c>
      <c r="T149" s="51">
        <f>'V-P'!V19/XE!$F138</f>
        <v>8.1957121630227121</v>
      </c>
      <c r="U149" s="56">
        <f>'V-P'!AA19/XE!$F138</f>
        <v>25.690936106983653</v>
      </c>
      <c r="V149" s="51">
        <f>'V-P'!AB19/XE!$F138</f>
        <v>4.4173211632349814</v>
      </c>
      <c r="W149" s="56">
        <f>'V-P'!AC19/XE!$F138</f>
        <v>17.887921884950114</v>
      </c>
      <c r="X149" s="51">
        <f>'V-P'!W19/XE!$F138</f>
        <v>13.105497771173848</v>
      </c>
      <c r="Y149" s="56">
        <f>'V-P'!Z19/XE!$F138</f>
        <v>71.439184886435996</v>
      </c>
      <c r="Z149" s="56">
        <f>'V-P'!Q19/XE!$F147</f>
        <v>86.511591666666661</v>
      </c>
      <c r="AA149" s="56">
        <f>'V-P'!E19/XE!$F138</f>
        <v>49.43536404160475</v>
      </c>
      <c r="AB149" s="56">
        <f>'V-P'!I19/XE!$F138</f>
        <v>36.811717257482485</v>
      </c>
      <c r="AC149" s="56">
        <f>'V-P'!F19/XE!$F138</f>
        <v>57.949479940564629</v>
      </c>
      <c r="AD149" s="56">
        <f>'V-P'!G19/XE!$F138</f>
        <v>25.81829760135852</v>
      </c>
      <c r="AE149" s="56">
        <f>'V-P'!L19/XE!$F138</f>
        <v>276.51241774570155</v>
      </c>
      <c r="AF149" s="56">
        <f>'V-P'!M19/XE!$F138</f>
        <v>161.17597113139459</v>
      </c>
    </row>
    <row r="150" spans="1:32">
      <c r="A150" s="4">
        <v>1926</v>
      </c>
      <c r="B150" s="56">
        <f>'V-P'!N20/XE!$F148</f>
        <v>97.888075000000001</v>
      </c>
      <c r="C150" s="106">
        <f>'V-P'!O20/XE!$F148</f>
        <v>64.152091666666664</v>
      </c>
      <c r="D150" s="56"/>
      <c r="E150" s="56">
        <f>'V-P'!K20/XE!$F148</f>
        <v>95.633208333333329</v>
      </c>
      <c r="F150" s="56">
        <f>'V-P'!H20/XE!$F148</f>
        <v>35.374166666666667</v>
      </c>
      <c r="H150" s="56">
        <f>'V-P'!P20/XE!$F148</f>
        <v>80.533924999999996</v>
      </c>
      <c r="I150" s="51">
        <f>'V-P'!R20/XE!$F148</f>
        <v>10.9414</v>
      </c>
      <c r="J150" s="51">
        <f>'V-P'!T20/XE!$F147</f>
        <v>4.8918499999999998</v>
      </c>
      <c r="K150" s="51">
        <f>'V-P'!S20/XE!$F146</f>
        <v>15.086632812499998</v>
      </c>
      <c r="L150" s="51">
        <f>'V-P'!U20/XE!$F139</f>
        <v>13.909477064220184</v>
      </c>
      <c r="M150" s="56"/>
      <c r="N150" s="51">
        <f>'V-P'!X20/XE!$F139</f>
        <v>6.6454770642201826</v>
      </c>
      <c r="O150" s="56">
        <f>'V-P'!B20/XE!$F139</f>
        <v>34.537321100917431</v>
      </c>
      <c r="P150" s="56">
        <f>'V-P'!D20/XE!$F139</f>
        <v>51.045844036697247</v>
      </c>
      <c r="Q150" s="56">
        <f>'V-P'!C20/XE!$F139</f>
        <v>31.532174311926603</v>
      </c>
      <c r="R150" s="51">
        <f>'V-P'!Y20/XE!$F139</f>
        <v>4.1068256880733935</v>
      </c>
      <c r="S150" s="56">
        <f>'V-P'!J20/XE!$F139</f>
        <v>138.94274311926603</v>
      </c>
      <c r="T150" s="51">
        <f>'V-P'!V20/XE!$F139</f>
        <v>6.1081743119266045</v>
      </c>
      <c r="U150" s="56">
        <f>'V-P'!AA20/XE!$F139</f>
        <v>29.699513761467891</v>
      </c>
      <c r="V150" s="51">
        <f>'V-P'!AB20/XE!$F139</f>
        <v>3.9256422018348625</v>
      </c>
      <c r="W150" s="56">
        <f>'V-P'!AC20/XE!$F139</f>
        <v>17.460256880733944</v>
      </c>
      <c r="X150" s="51">
        <f>'V-P'!W20/XE!$F139</f>
        <v>7.7263302752293574</v>
      </c>
      <c r="Y150" s="56">
        <f>'V-P'!Z20/XE!$F139</f>
        <v>61.710678899082559</v>
      </c>
      <c r="Z150" s="56">
        <f>'V-P'!Q20/XE!$F148</f>
        <v>85.036091666666664</v>
      </c>
      <c r="AA150" s="56">
        <f>'V-P'!E20/XE!$F139</f>
        <v>31.832064220183483</v>
      </c>
      <c r="AB150" s="56">
        <f>'V-P'!I20/XE!$F139</f>
        <v>37.723651376146783</v>
      </c>
      <c r="AC150" s="56">
        <f>'V-P'!F20/XE!$F139</f>
        <v>43.550678899082563</v>
      </c>
      <c r="AD150" s="56">
        <f>'V-P'!G20/XE!$F139</f>
        <v>28.385412844036697</v>
      </c>
      <c r="AE150" s="56">
        <f>'V-P'!L20/XE!$F139</f>
        <v>175.256495412844</v>
      </c>
      <c r="AF150" s="56">
        <f>'V-P'!M20/XE!$F139</f>
        <v>119.0854495412844</v>
      </c>
    </row>
    <row r="151" spans="1:32">
      <c r="A151" s="4">
        <v>1927</v>
      </c>
      <c r="B151" s="56">
        <f>'V-P'!N21/XE!$F149</f>
        <v>120.87651304347827</v>
      </c>
      <c r="C151" s="106">
        <f>'V-P'!O21/XE!$F149</f>
        <v>84.337408695652172</v>
      </c>
      <c r="D151" s="56"/>
      <c r="E151" s="56">
        <f>'V-P'!K21/XE!$F149</f>
        <v>100.62021739130435</v>
      </c>
      <c r="F151" s="56">
        <f>'V-P'!H21/XE!$F149</f>
        <v>28.969147826086957</v>
      </c>
      <c r="H151" s="56">
        <f>'V-P'!P21/XE!$F149</f>
        <v>81.313373913043478</v>
      </c>
      <c r="I151" s="51">
        <f>'V-P'!R21/XE!$F149</f>
        <v>9.3524000000000012</v>
      </c>
      <c r="J151" s="51">
        <f>'V-P'!T21/XE!$F148</f>
        <v>5.1320916666666658</v>
      </c>
      <c r="K151" s="51">
        <f>'V-P'!S21/XE!$F147</f>
        <v>13.735391666666667</v>
      </c>
      <c r="L151" s="51">
        <f>'V-P'!U21/XE!$F140</f>
        <v>13.344205607476637</v>
      </c>
      <c r="M151" s="56"/>
      <c r="N151" s="51">
        <f>'V-P'!X21/XE!$F140</f>
        <v>7.7222429906542054</v>
      </c>
      <c r="O151" s="56">
        <f>'V-P'!B21/XE!$F140</f>
        <v>30.865635514018695</v>
      </c>
      <c r="P151" s="56">
        <f>'V-P'!D21/XE!$F140</f>
        <v>50.4682523364486</v>
      </c>
      <c r="Q151" s="56">
        <f>'V-P'!C21/XE!$F140</f>
        <v>27.772495327102803</v>
      </c>
      <c r="R151" s="51">
        <f>'V-P'!Y21/XE!$F140</f>
        <v>4.9706635514018691</v>
      </c>
      <c r="S151" s="56">
        <f>'V-P'!J21/XE!$F140</f>
        <v>138.74579439252338</v>
      </c>
      <c r="T151" s="51">
        <f>'V-P'!V21/XE!$F140</f>
        <v>6.3920654205607477</v>
      </c>
      <c r="U151" s="56">
        <f>'V-P'!AA21/XE!$F140</f>
        <v>13.045074766355141</v>
      </c>
      <c r="V151" s="51">
        <f>'V-P'!AB21/XE!$F140</f>
        <v>4.2238971962616825</v>
      </c>
      <c r="W151" s="56">
        <f>'V-P'!AC21/XE!$F140</f>
        <v>20.514859813084115</v>
      </c>
      <c r="X151" s="51">
        <f>'V-P'!W21/XE!$F140</f>
        <v>8.6344859813084121</v>
      </c>
      <c r="Y151" s="56">
        <f>'V-P'!Z21/XE!$F140</f>
        <v>57.240065420560754</v>
      </c>
      <c r="Z151" s="56">
        <f>'V-P'!Q21/XE!$F149</f>
        <v>76.497026086956524</v>
      </c>
      <c r="AA151" s="56">
        <f>'V-P'!E21/XE!$F140</f>
        <v>32.520401869158881</v>
      </c>
      <c r="AB151" s="56">
        <f>'V-P'!I21/XE!$F140</f>
        <v>39.292214953271035</v>
      </c>
      <c r="AC151" s="56">
        <f>'V-P'!F21/XE!$F140</f>
        <v>55.356177570093465</v>
      </c>
      <c r="AD151" s="56">
        <f>'V-P'!G21/XE!$F140</f>
        <v>26.18773831775701</v>
      </c>
      <c r="AE151" s="56">
        <f>'V-P'!L21/XE!$F140</f>
        <v>214.32406542056077</v>
      </c>
      <c r="AF151" s="56">
        <f>'V-P'!M21/XE!$F140</f>
        <v>111.38911214953271</v>
      </c>
    </row>
    <row r="152" spans="1:32">
      <c r="A152" s="4">
        <v>1928</v>
      </c>
      <c r="B152" s="56">
        <f>'V-P'!N22/XE!$F150</f>
        <v>147.20653913043478</v>
      </c>
      <c r="C152" s="106">
        <f>'V-P'!O22/XE!$F150</f>
        <v>91.394147826086964</v>
      </c>
      <c r="D152" s="56"/>
      <c r="E152" s="56">
        <f>'V-P'!K22/XE!$F150</f>
        <v>125.50139130434782</v>
      </c>
      <c r="F152" s="56">
        <f>'V-P'!H22/XE!$F150</f>
        <v>32.920921739130435</v>
      </c>
      <c r="H152" s="56">
        <f>'V-P'!P22/XE!$F150</f>
        <v>91.95671304347826</v>
      </c>
      <c r="I152" s="51">
        <f>'V-P'!R22/XE!$F150</f>
        <v>9.3425304347826081</v>
      </c>
      <c r="J152" s="51">
        <f>'V-P'!T22/XE!$F149</f>
        <v>7.0468695652173921</v>
      </c>
      <c r="K152" s="51">
        <f>'V-P'!S22/XE!$F148</f>
        <v>12.205033333333333</v>
      </c>
      <c r="L152" s="51">
        <f>'V-P'!U22/XE!$F141</f>
        <v>14.946392156862746</v>
      </c>
      <c r="M152" s="56"/>
      <c r="N152" s="51">
        <f>'V-P'!X22/XE!$F141</f>
        <v>9.3292549019607858</v>
      </c>
      <c r="O152" s="56">
        <f>'V-P'!B22/XE!$F141</f>
        <v>41.320676470588239</v>
      </c>
      <c r="P152" s="56">
        <f>'V-P'!D22/XE!$F141</f>
        <v>50.656607843137266</v>
      </c>
      <c r="Q152" s="56">
        <f>'V-P'!C22/XE!$F141</f>
        <v>35.943892156862745</v>
      </c>
      <c r="R152" s="51">
        <f>'V-P'!Y22/XE!$F141</f>
        <v>6.0822647058823538</v>
      </c>
      <c r="S152" s="56">
        <f>'V-P'!J22/XE!$F141</f>
        <v>148.52031372549021</v>
      </c>
      <c r="T152" s="51">
        <f>'V-P'!V22/XE!$F141</f>
        <v>8.9887549019607853</v>
      </c>
      <c r="U152" s="56">
        <f>'V-P'!AA22/XE!$F141</f>
        <v>32.314117647058822</v>
      </c>
      <c r="V152" s="51">
        <f>'V-P'!AB22/XE!$F141</f>
        <v>4.8315392156862753</v>
      </c>
      <c r="W152" s="56">
        <f>'V-P'!AC22/XE!$F141</f>
        <v>22.05238235294118</v>
      </c>
      <c r="X152" s="51">
        <f>'V-P'!W22/XE!$F141</f>
        <v>9.8433431372549034</v>
      </c>
      <c r="Y152" s="56">
        <f>'V-P'!Z22/XE!$F141</f>
        <v>62.976921568627461</v>
      </c>
      <c r="Z152" s="56">
        <f>'V-P'!Q22/XE!$F150</f>
        <v>78.470939130434786</v>
      </c>
      <c r="AA152" s="56">
        <f>'V-P'!E22/XE!$F141</f>
        <v>41.768000000000008</v>
      </c>
      <c r="AB152" s="56">
        <f>'V-P'!I22/XE!$F141</f>
        <v>36.155313725490203</v>
      </c>
      <c r="AC152" s="56">
        <f>'V-P'!F22/XE!$F141</f>
        <v>50.202607843137265</v>
      </c>
      <c r="AD152" s="56">
        <f>'V-P'!G22/XE!$F141</f>
        <v>38.144901960784317</v>
      </c>
      <c r="AE152" s="56">
        <f>'V-P'!L22/XE!$F141</f>
        <v>226.43472549019612</v>
      </c>
      <c r="AF152" s="56">
        <f>'V-P'!M22/XE!$F141</f>
        <v>124.24689215686276</v>
      </c>
    </row>
    <row r="153" spans="1:32">
      <c r="A153" s="4">
        <v>1929</v>
      </c>
      <c r="B153" s="56">
        <f>'V-P'!N23/XE!$F151</f>
        <v>92.351818965517253</v>
      </c>
      <c r="C153" s="106">
        <f>'V-P'!O23/XE!$F151</f>
        <v>59.675560344827588</v>
      </c>
      <c r="D153" s="56"/>
      <c r="E153" s="56">
        <f>'V-P'!K23/XE!$F151</f>
        <v>103.69986206896552</v>
      </c>
      <c r="F153" s="56">
        <f>'V-P'!H23/XE!$F151</f>
        <v>32.895431034482762</v>
      </c>
      <c r="H153" s="56">
        <f>'V-P'!P23/XE!$F151</f>
        <v>72.915922413793112</v>
      </c>
      <c r="I153" s="51">
        <f>'V-P'!R23/XE!$F151</f>
        <v>8.224836206896553</v>
      </c>
      <c r="J153" s="51">
        <f>'V-P'!T23/XE!$F150</f>
        <v>6.5711565217391303</v>
      </c>
      <c r="K153" s="51">
        <f>'V-P'!S23/XE!$F149</f>
        <v>11.253278260869566</v>
      </c>
      <c r="L153" s="51">
        <f>'V-P'!U23/XE!$F142</f>
        <v>18.130709677419354</v>
      </c>
      <c r="M153" s="56"/>
      <c r="N153" s="51">
        <f>'V-P'!X23/XE!$F142</f>
        <v>8.1744408602150536</v>
      </c>
      <c r="O153" s="56">
        <f>'V-P'!B23/XE!$F142</f>
        <v>47.811569892473116</v>
      </c>
      <c r="P153" s="56">
        <f>'V-P'!D23/XE!$F142</f>
        <v>58.280419354838706</v>
      </c>
      <c r="Q153" s="56">
        <f>'V-P'!C23/XE!$F142</f>
        <v>42.28302150537634</v>
      </c>
      <c r="R153" s="51">
        <f>'V-P'!Y23/XE!$F142</f>
        <v>6.0264838709677422</v>
      </c>
      <c r="S153" s="56">
        <f>'V-P'!J23/XE!$F142</f>
        <v>166.11274193548385</v>
      </c>
      <c r="T153" s="51">
        <f>'V-P'!V23/XE!$F142</f>
        <v>7.8546881720430104</v>
      </c>
      <c r="U153" s="56">
        <f>'V-P'!AA23/XE!$F142</f>
        <v>35.443731182795695</v>
      </c>
      <c r="V153" s="51">
        <f>'V-P'!AB23/XE!$F142</f>
        <v>5.8507419354838701</v>
      </c>
      <c r="W153" s="56">
        <f>'V-P'!AC23/XE!$F142</f>
        <v>22.455913978494621</v>
      </c>
      <c r="X153" s="51">
        <f>'V-P'!W23/XE!$F142</f>
        <v>9.3314086021505354</v>
      </c>
      <c r="Y153" s="56">
        <f>'V-P'!Z23/XE!$F142</f>
        <v>74.358365591397842</v>
      </c>
      <c r="Z153" s="56">
        <f>'V-P'!Q23/XE!$F151</f>
        <v>81.089879310344827</v>
      </c>
      <c r="AA153" s="56">
        <f>'V-P'!E23/XE!$F142</f>
        <v>42.695526881720426</v>
      </c>
      <c r="AB153" s="56">
        <f>'V-P'!I23/XE!$F142</f>
        <v>53.698924731182792</v>
      </c>
      <c r="AC153" s="56">
        <f>'V-P'!F23/XE!$F142</f>
        <v>55.722397849462361</v>
      </c>
      <c r="AD153" s="56">
        <f>'V-P'!G23/XE!$F142</f>
        <v>32.524462365591397</v>
      </c>
      <c r="AE153" s="56">
        <f>'V-P'!L23/XE!$F142</f>
        <v>244.81827956989247</v>
      </c>
      <c r="AF153" s="56">
        <f>'V-P'!M23/XE!$F142</f>
        <v>131.4476451612903</v>
      </c>
    </row>
    <row r="154" spans="1:32">
      <c r="A154" s="4">
        <v>1930</v>
      </c>
      <c r="B154" s="56">
        <f>'V-P'!N24/XE!$F152</f>
        <v>58.927834586466155</v>
      </c>
      <c r="C154" s="106">
        <f>'V-P'!O24/XE!$F152</f>
        <v>45.821571428571431</v>
      </c>
      <c r="D154" s="56"/>
      <c r="E154" s="56">
        <f>'V-P'!K24/XE!$F152</f>
        <v>55.201962406015035</v>
      </c>
      <c r="F154" s="56">
        <f>'V-P'!H24/XE!$F152</f>
        <v>24.935864661654133</v>
      </c>
      <c r="H154" s="56">
        <f>'V-P'!P24/XE!$F152</f>
        <v>46.410406015037594</v>
      </c>
      <c r="I154" s="51">
        <f>'V-P'!R24/XE!$F152</f>
        <v>7.0796691729323298</v>
      </c>
      <c r="J154" s="51">
        <f>'V-P'!T24/XE!$F151</f>
        <v>4.4852068965517251</v>
      </c>
      <c r="K154" s="51">
        <f>'V-P'!S24/XE!$F150</f>
        <v>11.401321739130434</v>
      </c>
      <c r="L154" s="51">
        <f>'V-P'!U24/XE!$F143</f>
        <v>14.225333333333333</v>
      </c>
      <c r="M154" s="56"/>
      <c r="N154" s="51">
        <f>'V-P'!X24/XE!$F143</f>
        <v>3.4106749999999999</v>
      </c>
      <c r="O154" s="56">
        <f>'V-P'!B24/XE!$F143</f>
        <v>38.824566666666669</v>
      </c>
      <c r="P154" s="56">
        <f>'V-P'!D24/XE!$F143</f>
        <v>50.4621</v>
      </c>
      <c r="Q154" s="56">
        <f>'V-P'!C24/XE!$F143</f>
        <v>33.930824999999999</v>
      </c>
      <c r="R154" s="51">
        <f>'V-P'!Y24/XE!$F143</f>
        <v>3.126925</v>
      </c>
      <c r="S154" s="56">
        <f>'V-P'!J24/XE!$F143</f>
        <v>108.97513333333333</v>
      </c>
      <c r="T154" s="51">
        <f>'V-P'!V24/XE!$F143</f>
        <v>3.3444666666666665</v>
      </c>
      <c r="U154" s="56">
        <f>'V-P'!AA24/XE!$F143</f>
        <v>27.453758333333333</v>
      </c>
      <c r="V154" s="51">
        <f>'V-P'!AB24/XE!$F143</f>
        <v>4.3205666666666662</v>
      </c>
      <c r="W154" s="56">
        <f>'V-P'!AC24/XE!$F143</f>
        <v>18.133516666666665</v>
      </c>
      <c r="X154" s="51">
        <f>'V-P'!W24/XE!$F143</f>
        <v>3.3747333333333334</v>
      </c>
      <c r="Y154" s="56">
        <f>'V-P'!Z24/XE!$F143</f>
        <v>59.031349999999996</v>
      </c>
      <c r="Z154" s="56">
        <f>'V-P'!Q24/XE!$F152</f>
        <v>64.677932330827062</v>
      </c>
      <c r="AA154" s="56">
        <f>'V-P'!E24/XE!$F143</f>
        <v>33.913800000000002</v>
      </c>
      <c r="AB154" s="56">
        <f>'V-P'!I24/XE!$F143</f>
        <v>41.616666666666667</v>
      </c>
      <c r="AC154" s="56">
        <f>'V-P'!F24/XE!$F143</f>
        <v>45.899399999999993</v>
      </c>
      <c r="AD154" s="56">
        <f>'V-P'!G24/XE!$F143</f>
        <v>27.571041666666666</v>
      </c>
      <c r="AE154" s="56">
        <f>'V-P'!L24/XE!$F143</f>
        <v>187.99572499999999</v>
      </c>
      <c r="AF154" s="56">
        <f>'V-P'!M24/XE!$F143</f>
        <v>90.781083333333328</v>
      </c>
    </row>
    <row r="155" spans="1:32">
      <c r="A155" s="4">
        <v>1931</v>
      </c>
      <c r="B155" s="56">
        <f>'V-P'!N25/XE!$F153</f>
        <v>42.506116129032257</v>
      </c>
      <c r="C155" s="106">
        <f>'V-P'!O25/XE!$F153</f>
        <v>37.003929032258064</v>
      </c>
      <c r="D155" s="56"/>
      <c r="E155" s="56">
        <f>'V-P'!K25/XE!$F153</f>
        <v>38.061309677419352</v>
      </c>
      <c r="F155" s="56">
        <f>'V-P'!H25/XE!$F153</f>
        <v>15.986658064516128</v>
      </c>
      <c r="H155" s="56">
        <f>'V-P'!P25/XE!$F153</f>
        <v>36.131077419354838</v>
      </c>
      <c r="I155" s="51">
        <f>'V-P'!R25/XE!$F153</f>
        <v>3.6949741935483869</v>
      </c>
      <c r="J155" s="51">
        <f>'V-P'!T25/XE!$F152</f>
        <v>2.9561203007518793</v>
      </c>
      <c r="K155" s="51">
        <f>'V-P'!S25/XE!$F151</f>
        <v>8.2346206896551717</v>
      </c>
      <c r="L155" s="51">
        <f>'V-P'!U25/XE!$F144</f>
        <v>8.8031707317073185</v>
      </c>
      <c r="M155" s="56"/>
      <c r="N155" s="51">
        <f>'V-P'!X25/XE!$F144</f>
        <v>3.4640569105691057</v>
      </c>
      <c r="O155" s="56">
        <f>'V-P'!B25/XE!$F144</f>
        <v>35.386162601626019</v>
      </c>
      <c r="P155" s="56">
        <f>'V-P'!D25/XE!$F144</f>
        <v>45.387081300813009</v>
      </c>
      <c r="Q155" s="56">
        <f>'V-P'!C25/XE!$F144</f>
        <v>30.654227642276421</v>
      </c>
      <c r="R155" s="51">
        <f>'V-P'!Y25/XE!$F144</f>
        <v>3.0525040650406501</v>
      </c>
      <c r="S155" s="56">
        <f>'V-P'!J25/XE!$F144</f>
        <v>105.51808943089431</v>
      </c>
      <c r="T155" s="51">
        <f>'V-P'!V25/XE!$F144</f>
        <v>3.2555121951219514</v>
      </c>
      <c r="U155" s="56">
        <f>'V-P'!AA25/XE!$F144</f>
        <v>31.517934959349596</v>
      </c>
      <c r="V155" s="51">
        <f>'V-P'!AB25/XE!$F144</f>
        <v>3.9457398373983739</v>
      </c>
      <c r="W155" s="56">
        <f>'V-P'!AC25/XE!$F144</f>
        <v>14.932170731707316</v>
      </c>
      <c r="X155" s="51">
        <f>'V-P'!W25/XE!$F144</f>
        <v>3.5526422764227643</v>
      </c>
      <c r="Y155" s="56">
        <f>'V-P'!Z25/XE!$F144</f>
        <v>86.333821138211391</v>
      </c>
      <c r="Z155" s="56">
        <f>'V-P'!Q25/XE!$F153</f>
        <v>44.77904516129032</v>
      </c>
      <c r="AA155" s="56">
        <f>'V-P'!E25/XE!$F144</f>
        <v>30.800024390243902</v>
      </c>
      <c r="AB155" s="56">
        <f>'V-P'!I25/XE!$F144</f>
        <v>10.683764227642277</v>
      </c>
      <c r="AC155" s="56">
        <f>'V-P'!F25/XE!$F144</f>
        <v>46.230487804878052</v>
      </c>
      <c r="AD155" s="56">
        <f>'V-P'!G25/XE!$F144</f>
        <v>24.912788617886182</v>
      </c>
      <c r="AE155" s="56">
        <f>'V-P'!L25/XE!$F144</f>
        <v>149.61330081300812</v>
      </c>
      <c r="AF155" s="56">
        <f>'V-P'!M25/XE!$F144</f>
        <v>72.968504065040648</v>
      </c>
    </row>
    <row r="156" spans="1:32">
      <c r="A156" s="4">
        <v>1932</v>
      </c>
      <c r="B156" s="56">
        <f>'V-P'!N26/XE!$F154</f>
        <v>40.44079562043796</v>
      </c>
      <c r="C156" s="106">
        <f>'V-P'!O26/XE!$F154</f>
        <v>33.23147445255475</v>
      </c>
      <c r="D156" s="56"/>
      <c r="E156" s="56">
        <f>'V-P'!K26/XE!$F154</f>
        <v>39.564277372262779</v>
      </c>
      <c r="F156" s="56">
        <f>'V-P'!H26/XE!$F154</f>
        <v>16.95375182481752</v>
      </c>
      <c r="H156" s="56">
        <f>'V-P'!P26/XE!$F154</f>
        <v>27.157153284671537</v>
      </c>
      <c r="I156" s="51">
        <f>'V-P'!R26/XE!$F154</f>
        <v>4.7885401459854018</v>
      </c>
      <c r="J156" s="51">
        <f>'V-P'!T26/XE!$F153</f>
        <v>2.9290322580645158</v>
      </c>
      <c r="K156" s="51">
        <f>'V-P'!S26/XE!$F152</f>
        <v>7.5916992481202996</v>
      </c>
      <c r="L156" s="51">
        <f>'V-P'!U26/XE!$F145</f>
        <v>6.9175263157894733</v>
      </c>
      <c r="M156" s="56"/>
      <c r="N156" s="51">
        <f>'V-P'!X26/XE!$F145</f>
        <v>4.7977218045112773</v>
      </c>
      <c r="O156" s="56">
        <f>'V-P'!B26/XE!$F145</f>
        <v>25.459842105263153</v>
      </c>
      <c r="P156" s="56">
        <f>'V-P'!D26/XE!$F145</f>
        <v>18.098556390977443</v>
      </c>
      <c r="Q156" s="56">
        <f>'V-P'!C26/XE!$F145</f>
        <v>23.186428571428568</v>
      </c>
      <c r="R156" s="51">
        <f>'V-P'!Y26/XE!$F145</f>
        <v>3.3247819548872179</v>
      </c>
      <c r="S156" s="56">
        <f>'V-P'!J26/XE!$F145</f>
        <v>80.04566165413533</v>
      </c>
      <c r="T156" s="51">
        <f>'V-P'!V26/XE!$F145</f>
        <v>3.8299849624060149</v>
      </c>
      <c r="U156" s="56">
        <f>'V-P'!AA26/XE!$F145</f>
        <v>27.833954887218045</v>
      </c>
      <c r="V156" s="51">
        <f>'V-P'!AB26/XE!$F145</f>
        <v>2.995375939849624</v>
      </c>
      <c r="W156" s="56">
        <f>'V-P'!AC26/XE!$F145</f>
        <v>10.04090977443609</v>
      </c>
      <c r="X156" s="51">
        <f>'V-P'!W26/XE!$F145</f>
        <v>4.8233233082706768</v>
      </c>
      <c r="Y156" s="56">
        <f>'V-P'!Z26/XE!$F145</f>
        <v>36.550413533834586</v>
      </c>
      <c r="Z156" s="56">
        <f>'V-P'!Q26/XE!$F154</f>
        <v>34.214036496350367</v>
      </c>
      <c r="AA156" s="56">
        <f>'V-P'!E26/XE!$F145</f>
        <v>24.563789473684206</v>
      </c>
      <c r="AB156" s="56">
        <f>'V-P'!I26/XE!$F145</f>
        <v>7.1803684210526306</v>
      </c>
      <c r="AC156" s="56">
        <f>'V-P'!F26/XE!$F145</f>
        <v>41.764586466165404</v>
      </c>
      <c r="AD156" s="56">
        <f>'V-P'!G26/XE!$F145</f>
        <v>21.663992481203007</v>
      </c>
      <c r="AE156" s="56">
        <f>'V-P'!L26/XE!$F145</f>
        <v>81.320616541353374</v>
      </c>
      <c r="AF156" s="56">
        <f>'V-P'!M26/XE!$F145</f>
        <v>65.012458646616537</v>
      </c>
    </row>
    <row r="157" spans="1:32">
      <c r="A157" s="4">
        <v>1933</v>
      </c>
      <c r="B157" s="56">
        <f>'V-P'!N27/XE!$F155</f>
        <v>45.2678656716418</v>
      </c>
      <c r="C157" s="106">
        <f>'V-P'!O27/XE!$F155</f>
        <v>36.140432835820896</v>
      </c>
      <c r="D157" s="56"/>
      <c r="E157" s="56">
        <f>'V-P'!K27/XE!$F155</f>
        <v>42.491350746268658</v>
      </c>
      <c r="F157" s="56">
        <f>'V-P'!H27/XE!$F155</f>
        <v>16.088201492537316</v>
      </c>
      <c r="H157" s="56">
        <f>'V-P'!P27/XE!$F155</f>
        <v>38.69672388059702</v>
      </c>
      <c r="I157" s="51">
        <f>'V-P'!R27/XE!$F155</f>
        <v>4.1063283582089554</v>
      </c>
      <c r="J157" s="51">
        <f>'V-P'!T27/XE!$F154</f>
        <v>2.8631824817518252</v>
      </c>
      <c r="K157" s="51">
        <f>'V-P'!S27/XE!$F153</f>
        <v>6.1641483870967742</v>
      </c>
      <c r="L157" s="51">
        <f>'V-P'!U27/XE!$F146</f>
        <v>8.0336718749999996</v>
      </c>
      <c r="M157" s="56"/>
      <c r="N157" s="51">
        <f>'V-P'!X27/XE!$F146</f>
        <v>3.2542578125000001</v>
      </c>
      <c r="O157" s="56">
        <f>'V-P'!B27/XE!$F146</f>
        <v>25.838984374999995</v>
      </c>
      <c r="P157" s="56">
        <f>'V-P'!D27/XE!$F146</f>
        <v>18.546609374999999</v>
      </c>
      <c r="Q157" s="56">
        <f>'V-P'!C27/XE!$F146</f>
        <v>18.739914062499999</v>
      </c>
      <c r="R157" s="51">
        <f>'V-P'!Y27/XE!$F146</f>
        <v>2.5980859375000001</v>
      </c>
      <c r="S157" s="56">
        <f>'V-P'!J27/XE!$F146</f>
        <v>68.287984374999994</v>
      </c>
      <c r="T157" s="51">
        <f>'V-P'!V27/XE!$F146</f>
        <v>3.0875546875</v>
      </c>
      <c r="U157" s="56">
        <f>'V-P'!AA27/XE!$F146</f>
        <v>29.524187499999996</v>
      </c>
      <c r="V157" s="51">
        <f>'V-P'!AB27/XE!$F146</f>
        <v>3.2684453124999999</v>
      </c>
      <c r="W157" s="56">
        <f>'V-P'!AC27/XE!$F146</f>
        <v>10.5555</v>
      </c>
      <c r="X157" s="51">
        <f>'V-P'!W27/XE!$F146</f>
        <v>3.153171875</v>
      </c>
      <c r="Y157" s="56">
        <f>'V-P'!Z27/XE!$F146</f>
        <v>41.787507812499996</v>
      </c>
      <c r="Z157" s="56">
        <f>'V-P'!Q27/XE!$F155</f>
        <v>16.994507462686567</v>
      </c>
      <c r="AA157" s="56">
        <f>'V-P'!E27/XE!$F146</f>
        <v>24.173726562500001</v>
      </c>
      <c r="AB157" s="56">
        <f>'V-P'!I27/XE!$F146</f>
        <v>26.457914062499999</v>
      </c>
      <c r="AC157" s="56">
        <f>'V-P'!F27/XE!$F146</f>
        <v>48.006953124999995</v>
      </c>
      <c r="AD157" s="56">
        <f>'V-P'!G27/XE!$F146</f>
        <v>22.448171875</v>
      </c>
      <c r="AE157" s="56">
        <f>'V-P'!L27/XE!$F146</f>
        <v>77.550648437500001</v>
      </c>
      <c r="AF157" s="56">
        <f>'V-P'!M27/XE!$F146</f>
        <v>45.6784296875</v>
      </c>
    </row>
    <row r="158" spans="1:32">
      <c r="A158" s="4">
        <v>1934</v>
      </c>
      <c r="B158" s="56">
        <f>'V-P'!N28/XE!$F156</f>
        <v>43.313064516129032</v>
      </c>
      <c r="C158" s="106">
        <f>'V-P'!O28/XE!$F156</f>
        <v>32.884245161290323</v>
      </c>
      <c r="D158" s="56"/>
      <c r="E158" s="56">
        <f>'V-P'!K28/XE!$F156</f>
        <v>69.621632258064508</v>
      </c>
      <c r="F158" s="56">
        <f>'V-P'!H28/XE!$F156</f>
        <v>15.567806451612903</v>
      </c>
      <c r="H158" s="56">
        <f>'V-P'!P28/XE!$F156</f>
        <v>49.528470967741931</v>
      </c>
      <c r="I158" s="51">
        <f>'V-P'!R28/XE!$F156</f>
        <v>3.9688387096774194</v>
      </c>
      <c r="J158" s="51">
        <f>'V-P'!T28/XE!$F155</f>
        <v>4.1097164179104482</v>
      </c>
      <c r="K158" s="51">
        <f>'V-P'!S28/XE!$F154</f>
        <v>6.9127299270072999</v>
      </c>
      <c r="L158" s="51">
        <f>'V-P'!U28/XE!$F147</f>
        <v>10.322825</v>
      </c>
      <c r="M158" s="56"/>
      <c r="N158" s="51">
        <f>'V-P'!X28/XE!$F147</f>
        <v>3.9781750000000002</v>
      </c>
      <c r="O158" s="56">
        <f>'V-P'!B28/XE!$F147</f>
        <v>30.262883333333331</v>
      </c>
      <c r="P158" s="56">
        <f>'V-P'!D28/XE!$F147</f>
        <v>22.472999999999999</v>
      </c>
      <c r="Q158" s="56">
        <f>'V-P'!C28/XE!$F147</f>
        <v>19.673333333333332</v>
      </c>
      <c r="R158" s="51">
        <f>'V-P'!Y28/XE!$F147</f>
        <v>3.8646749999999996</v>
      </c>
      <c r="S158" s="56">
        <f>'V-P'!J28/XE!$F147</f>
        <v>69.738183333333339</v>
      </c>
      <c r="T158" s="51">
        <f>'V-P'!V28/XE!$F147</f>
        <v>3.8476499999999998</v>
      </c>
      <c r="U158" s="56">
        <f>'V-P'!AA28/XE!$F147</f>
        <v>31.704333333333331</v>
      </c>
      <c r="V158" s="51">
        <f>'V-P'!AB28/XE!$F147</f>
        <v>3.5657916666666667</v>
      </c>
      <c r="W158" s="56">
        <f>'V-P'!AC28/XE!$F147</f>
        <v>13.158433333333333</v>
      </c>
      <c r="X158" s="51">
        <f>'V-P'!W28/XE!$F147</f>
        <v>4.3716416666666662</v>
      </c>
      <c r="Y158" s="56">
        <f>'V-P'!Z28/XE!$F147</f>
        <v>62.680375000000005</v>
      </c>
      <c r="Z158" s="56">
        <f>'V-P'!Q28/XE!$F156</f>
        <v>14.724245161290323</v>
      </c>
      <c r="AA158" s="56">
        <f>'V-P'!E28/XE!$F147</f>
        <v>33.204425000000001</v>
      </c>
      <c r="AB158" s="56">
        <f>'V-P'!I28/XE!$F147</f>
        <v>36.145966666666666</v>
      </c>
      <c r="AC158" s="56">
        <f>'V-P'!F28/XE!$F147</f>
        <v>48.64799166666667</v>
      </c>
      <c r="AD158" s="56">
        <f>'V-P'!G28/XE!$F147</f>
        <v>22.779450000000001</v>
      </c>
      <c r="AE158" s="56">
        <f>'V-P'!L28/XE!$F147</f>
        <v>108.03875833333333</v>
      </c>
      <c r="AF158" s="56">
        <f>'V-P'!M28/XE!$F147</f>
        <v>52.160816666666669</v>
      </c>
    </row>
    <row r="159" spans="1:32">
      <c r="A159" s="4">
        <v>1935</v>
      </c>
      <c r="B159" s="56">
        <f>'V-P'!N29/XE!$F157</f>
        <v>46.310929032258066</v>
      </c>
      <c r="C159" s="106">
        <f>'V-P'!O29/XE!$F157</f>
        <v>36.390296774193544</v>
      </c>
      <c r="D159" s="56"/>
      <c r="E159" s="56">
        <f>'V-P'!K29/XE!$F157</f>
        <v>51.505567741935479</v>
      </c>
      <c r="F159" s="56">
        <f>'V-P'!H29/XE!$F157</f>
        <v>21.695341935483867</v>
      </c>
      <c r="H159" s="56">
        <f>'V-P'!P29/XE!$F157</f>
        <v>43.71287741935484</v>
      </c>
      <c r="I159" s="51">
        <f>'V-P'!R29/XE!$F157</f>
        <v>4.5707548387096777</v>
      </c>
      <c r="J159" s="51">
        <f>'V-P'!T29/XE!$F156</f>
        <v>2.939283870967742</v>
      </c>
      <c r="K159" s="51">
        <f>'V-P'!S29/XE!$F155</f>
        <v>7.6061940298507462</v>
      </c>
      <c r="L159" s="51">
        <f>'V-P'!U29/XE!$F148</f>
        <v>10.109066666666665</v>
      </c>
      <c r="M159" s="56"/>
      <c r="N159" s="51">
        <f>'V-P'!X29/XE!$F148</f>
        <v>4.6705250000000005</v>
      </c>
      <c r="O159" s="56">
        <f>'V-P'!B29/XE!$F148</f>
        <v>38.487850000000002</v>
      </c>
      <c r="P159" s="56">
        <f>'V-P'!D29/XE!$F148</f>
        <v>24.975674999999999</v>
      </c>
      <c r="Q159" s="56">
        <f>'V-P'!C29/XE!$F148</f>
        <v>20.184083333333334</v>
      </c>
      <c r="R159" s="51">
        <f>'V-P'!Y29/XE!$F148</f>
        <v>3.9592583333333331</v>
      </c>
      <c r="S159" s="56">
        <f>'V-P'!J29/XE!$F148</f>
        <v>89.566633333333328</v>
      </c>
      <c r="T159" s="51">
        <f>'V-P'!V29/XE!$F148</f>
        <v>4.5267583333333334</v>
      </c>
      <c r="U159" s="56">
        <f>'V-P'!AA29/XE!$F148</f>
        <v>33.270633333333329</v>
      </c>
      <c r="V159" s="51">
        <f>'V-P'!AB29/XE!$F148</f>
        <v>3.8154916666666669</v>
      </c>
      <c r="W159" s="56">
        <f>'V-P'!AC29/XE!$F148</f>
        <v>17.970833333333331</v>
      </c>
      <c r="X159" s="51">
        <f>'V-P'!W29/XE!$F148</f>
        <v>4.1465333333333332</v>
      </c>
      <c r="Y159" s="56">
        <f>'V-P'!Z29/XE!$F148</f>
        <v>62.958449999999999</v>
      </c>
      <c r="Z159" s="56">
        <f>'V-P'!Q29/XE!$F157</f>
        <v>16.494845161290321</v>
      </c>
      <c r="AA159" s="56">
        <f>'V-P'!E29/XE!$F148</f>
        <v>52.558066666666662</v>
      </c>
      <c r="AB159" s="56">
        <f>'V-P'!I29/XE!$F148</f>
        <v>35.094200000000001</v>
      </c>
      <c r="AC159" s="56">
        <f>'V-P'!F29/XE!$F148</f>
        <v>56.453008333333329</v>
      </c>
      <c r="AD159" s="56">
        <f>'V-P'!G29/XE!$F148</f>
        <v>21.816591666666664</v>
      </c>
      <c r="AE159" s="56">
        <f>'V-P'!L29/XE!$F148</f>
        <v>100.50803333333334</v>
      </c>
      <c r="AF159" s="56">
        <f>'V-P'!M29/XE!$F148</f>
        <v>62.258533333333332</v>
      </c>
    </row>
    <row r="160" spans="1:32">
      <c r="A160" s="4">
        <v>1936</v>
      </c>
      <c r="B160" s="56">
        <f>'V-P'!N30/XE!$F158</f>
        <v>50.557616883116879</v>
      </c>
      <c r="C160" s="106">
        <f>'V-P'!O30/XE!$F158</f>
        <v>41.362642857142859</v>
      </c>
      <c r="D160" s="56"/>
      <c r="E160" s="56">
        <f>'V-P'!K30/XE!$F158</f>
        <v>68.580532467532464</v>
      </c>
      <c r="F160" s="56">
        <f>'V-P'!H30/XE!$F158</f>
        <v>23.457649350649348</v>
      </c>
      <c r="H160" s="56">
        <f>'V-P'!P30/XE!$F158</f>
        <v>62.743389610389613</v>
      </c>
      <c r="I160" s="51">
        <f>'V-P'!R30/XE!$F158</f>
        <v>6.1393181818181812</v>
      </c>
      <c r="J160" s="51">
        <f>'V-P'!T30/XE!$F157</f>
        <v>3.4225741935483871</v>
      </c>
      <c r="K160" s="51">
        <f>'V-P'!S30/XE!$F156</f>
        <v>9.3772967741935478</v>
      </c>
      <c r="L160" s="51">
        <f>'V-P'!U30/XE!$F149</f>
        <v>12.333008695652174</v>
      </c>
      <c r="M160" s="56"/>
      <c r="N160" s="51">
        <f>'V-P'!X30/XE!$F149</f>
        <v>5.159808695652174</v>
      </c>
      <c r="O160" s="56">
        <f>'V-P'!B30/XE!$F149</f>
        <v>41.171878260869569</v>
      </c>
      <c r="P160" s="56">
        <f>'V-P'!D30/XE!$F149</f>
        <v>26.371478260869566</v>
      </c>
      <c r="Q160" s="56">
        <f>'V-P'!C30/XE!$F149</f>
        <v>20.516852173913044</v>
      </c>
      <c r="R160" s="51">
        <f>'V-P'!Y30/XE!$F149</f>
        <v>4.4965739130434788</v>
      </c>
      <c r="S160" s="56">
        <f>'V-P'!J30/XE!$F149</f>
        <v>94.22671304347827</v>
      </c>
      <c r="T160" s="51">
        <f>'V-P'!V30/XE!$F149</f>
        <v>4.9051739130434786</v>
      </c>
      <c r="U160" s="56">
        <f>'V-P'!AA30/XE!$F149</f>
        <v>32.836043478260869</v>
      </c>
      <c r="V160" s="51">
        <f>'V-P'!AB30/XE!$F149</f>
        <v>4.0800782608695654</v>
      </c>
      <c r="W160" s="56">
        <f>'V-P'!AC30/XE!$F149</f>
        <v>16.770365217391305</v>
      </c>
      <c r="X160" s="51">
        <f>'V-P'!W30/XE!$F149</f>
        <v>5.098617391304348</v>
      </c>
      <c r="Y160" s="56">
        <f>'V-P'!Z30/XE!$F149</f>
        <v>68.668486956521747</v>
      </c>
      <c r="Z160" s="56">
        <f>'V-P'!Q30/XE!$F158</f>
        <v>32.938584415584415</v>
      </c>
      <c r="AA160" s="56">
        <f>'V-P'!E30/XE!$F149</f>
        <v>59.426626086956524</v>
      </c>
      <c r="AB160" s="56">
        <f>'V-P'!I30/XE!$F149</f>
        <v>48.048991304347823</v>
      </c>
      <c r="AC160" s="56">
        <f>'V-P'!F30/XE!$F149</f>
        <v>58.463356521739136</v>
      </c>
      <c r="AD160" s="56">
        <f>'V-P'!G30/XE!$F149</f>
        <v>19.656226086956522</v>
      </c>
      <c r="AE160" s="56">
        <f>'V-P'!L30/XE!$F149</f>
        <v>134.63666086956522</v>
      </c>
      <c r="AF160" s="56">
        <f>'V-P'!M30/XE!$F149</f>
        <v>64.771982608695652</v>
      </c>
    </row>
    <row r="161" spans="1:32">
      <c r="A161" s="4">
        <v>1937</v>
      </c>
      <c r="B161" s="56">
        <f>'V-P'!N31/XE!$F159</f>
        <v>72.78934210526316</v>
      </c>
      <c r="C161" s="106">
        <f>'V-P'!O31/XE!$F159</f>
        <v>56.899342105263159</v>
      </c>
      <c r="D161" s="56"/>
      <c r="E161" s="56">
        <f>'V-P'!K31/XE!$F159</f>
        <v>92.07836842105263</v>
      </c>
      <c r="F161" s="56">
        <f>'V-P'!H31/XE!$F159</f>
        <v>21.411177631578948</v>
      </c>
      <c r="H161" s="56">
        <f>'V-P'!P31/XE!$F159</f>
        <v>73.606243421052639</v>
      </c>
      <c r="I161" s="51">
        <f>'V-P'!R31/XE!$F159</f>
        <v>8.0390855263157892</v>
      </c>
      <c r="J161" s="51">
        <f>'V-P'!T31/XE!$F158</f>
        <v>4.2717272727272722</v>
      </c>
      <c r="K161" s="51">
        <f>'V-P'!S31/XE!$F157</f>
        <v>11.241625806451614</v>
      </c>
      <c r="L161" s="51">
        <f>'V-P'!U31/XE!$F150</f>
        <v>13.26666956521739</v>
      </c>
      <c r="M161" s="56"/>
      <c r="N161" s="51">
        <f>'V-P'!X31/XE!$F150</f>
        <v>7.2482086956521741</v>
      </c>
      <c r="O161" s="56">
        <f>'V-P'!B31/XE!$F150</f>
        <v>42.352278260869568</v>
      </c>
      <c r="P161" s="56">
        <f>'V-P'!D31/XE!$F150</f>
        <v>38.757782608695649</v>
      </c>
      <c r="Q161" s="56">
        <f>'V-P'!C31/XE!$F150</f>
        <v>27.044582608695652</v>
      </c>
      <c r="R161" s="51">
        <f>'V-P'!Y31/XE!$F150</f>
        <v>3.4563217391304351</v>
      </c>
      <c r="S161" s="56">
        <f>'V-P'!J31/XE!$F150</f>
        <v>92.491643478260869</v>
      </c>
      <c r="T161" s="51">
        <f>'V-P'!V31/XE!$F150</f>
        <v>5.3078521739130435</v>
      </c>
      <c r="U161" s="56">
        <f>'V-P'!AA31/XE!$F150</f>
        <v>31.0812347826087</v>
      </c>
      <c r="V161" s="51">
        <f>'V-P'!AB31/XE!$F150</f>
        <v>3.8807130434782611</v>
      </c>
      <c r="W161" s="56">
        <f>'V-P'!AC31/XE!$F150</f>
        <v>17.575721739130437</v>
      </c>
      <c r="X161" s="51">
        <f>'V-P'!W31/XE!$F150</f>
        <v>10.365017391304347</v>
      </c>
      <c r="Y161" s="55">
        <f>(Y160+Y162)/2</f>
        <v>57.673170202398808</v>
      </c>
      <c r="Z161" s="56">
        <f>'V-P'!Q31/XE!$F159</f>
        <v>43.267394736842114</v>
      </c>
      <c r="AA161" s="56">
        <f>'V-P'!E31/XE!$F150</f>
        <v>60.67216521739131</v>
      </c>
      <c r="AB161" s="56">
        <f>'V-P'!I31/XE!$F150</f>
        <v>52.442921739130441</v>
      </c>
      <c r="AC161" s="56">
        <f>'V-P'!F31/XE!$F150</f>
        <v>44.584773913043477</v>
      </c>
      <c r="AD161" s="56">
        <f>'V-P'!G31/XE!$F150</f>
        <v>30.978591304347827</v>
      </c>
      <c r="AE161" s="56">
        <f>'V-P'!L31/XE!$F150</f>
        <v>188.75148695652175</v>
      </c>
      <c r="AF161" s="56">
        <f>'V-P'!M31/XE!$F150</f>
        <v>114.64684347826086</v>
      </c>
    </row>
    <row r="162" spans="1:32">
      <c r="A162" s="4">
        <v>1938</v>
      </c>
      <c r="B162" s="56">
        <f>'V-P'!N32/XE!$F160</f>
        <v>48.790448717948721</v>
      </c>
      <c r="C162" s="106">
        <f>'V-P'!O32/XE!$F160</f>
        <v>39.011987179487186</v>
      </c>
      <c r="D162" s="56"/>
      <c r="E162" s="56">
        <f>'V-P'!K32/XE!$F160</f>
        <v>60.780705128205128</v>
      </c>
      <c r="F162" s="56">
        <f>'V-P'!H32/XE!$F160</f>
        <v>17.77875641025641</v>
      </c>
      <c r="H162" s="56">
        <f>'V-P'!P32/XE!$F160</f>
        <v>44.35230769230769</v>
      </c>
      <c r="I162" s="51">
        <f>'V-P'!R32/XE!$F160</f>
        <v>6.0518782051282054</v>
      </c>
      <c r="J162" s="51">
        <f>'V-P'!T32/XE!$F159</f>
        <v>4.4892236842105264</v>
      </c>
      <c r="K162" s="51">
        <f>'V-P'!S32/XE!$F158</f>
        <v>7.8919350649350646</v>
      </c>
      <c r="L162" s="51">
        <f>'V-P'!U32/XE!$F151</f>
        <v>12.334318965517243</v>
      </c>
      <c r="M162" s="56"/>
      <c r="N162" s="51">
        <f>'V-P'!X32/XE!$F151</f>
        <v>7.4890431034482772</v>
      </c>
      <c r="O162" s="56">
        <f>'V-P'!B32/XE!$F151</f>
        <v>41.918681034482759</v>
      </c>
      <c r="P162" s="56">
        <f>'V-P'!D32/XE!$F151</f>
        <v>51.914508620689659</v>
      </c>
      <c r="Q162" s="56">
        <f>'V-P'!C32/XE!$F151</f>
        <v>27.911215517241381</v>
      </c>
      <c r="R162" s="51">
        <f>'V-P'!Y32/XE!$F151</f>
        <v>4.8257068965517247</v>
      </c>
      <c r="S162" s="56">
        <f>'V-P'!J32/XE!$F151</f>
        <v>104.55111206896552</v>
      </c>
      <c r="T162" s="51">
        <f>'V-P'!V32/XE!$F151</f>
        <v>5.1114137931034485</v>
      </c>
      <c r="U162" s="56">
        <f>'V-P'!AA32/XE!$F151</f>
        <v>35.406129310344831</v>
      </c>
      <c r="V162" s="51">
        <f>'V-P'!AB32/XE!$F151</f>
        <v>4.1153534482758625</v>
      </c>
      <c r="W162" s="56">
        <f>'V-P'!AC32/XE!$F151</f>
        <v>17.686431034482759</v>
      </c>
      <c r="X162" s="51">
        <f>'V-P'!W32/XE!$F151</f>
        <v>5.8550344827586214</v>
      </c>
      <c r="Y162" s="56">
        <f>'V-P'!Z32/XE!$F151</f>
        <v>46.677853448275862</v>
      </c>
      <c r="Z162" s="56">
        <f>'V-P'!Q32/XE!$F160</f>
        <v>28.798442307692305</v>
      </c>
      <c r="AA162" s="56">
        <f>'V-P'!E32/XE!$F151</f>
        <v>61.131491379310347</v>
      </c>
      <c r="AB162" s="56">
        <f>'V-P'!I32/XE!$F151</f>
        <v>22.934827586206897</v>
      </c>
      <c r="AC162" s="56">
        <f>'V-P'!F32/XE!$F151</f>
        <v>32.102887931034488</v>
      </c>
      <c r="AD162" s="56">
        <f>'V-P'!G32/XE!$F151</f>
        <v>33.605784482758622</v>
      </c>
      <c r="AE162" s="56">
        <f>'V-P'!L32/XE!$F151</f>
        <v>138.88290517241381</v>
      </c>
      <c r="AF162" s="56">
        <f>'V-P'!M32/XE!$F151</f>
        <v>84.397034482758613</v>
      </c>
    </row>
    <row r="163" spans="1:32">
      <c r="N163" s="51"/>
      <c r="R163" s="51"/>
      <c r="T163" s="51"/>
      <c r="U163" s="51"/>
      <c r="X163" s="51"/>
      <c r="Y163" s="51"/>
    </row>
    <row r="164" spans="1:32">
      <c r="N164" s="51"/>
      <c r="R164" s="51"/>
      <c r="T164" s="51"/>
      <c r="U164" s="51"/>
      <c r="X164" s="51"/>
      <c r="Y164" s="51"/>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138"/>
  <sheetViews>
    <sheetView workbookViewId="0">
      <pane xSplit="1" ySplit="3" topLeftCell="B4" activePane="bottomRight" state="frozen"/>
      <selection pane="topRight" activeCell="B1" sqref="B1"/>
      <selection pane="bottomLeft" activeCell="A4" sqref="A4"/>
      <selection pane="bottomRight" activeCell="J88" sqref="J88"/>
    </sheetView>
  </sheetViews>
  <sheetFormatPr baseColWidth="10" defaultRowHeight="15"/>
  <cols>
    <col min="1" max="21" width="10.7109375" style="4"/>
    <col min="26" max="16384" width="10.7109375" style="4"/>
  </cols>
  <sheetData>
    <row r="1" spans="1:20">
      <c r="B1" s="33" t="s">
        <v>65</v>
      </c>
      <c r="C1" s="33" t="s">
        <v>395</v>
      </c>
      <c r="L1" s="33" t="s">
        <v>213</v>
      </c>
    </row>
    <row r="2" spans="1:20" ht="30">
      <c r="B2" s="4" t="s">
        <v>357</v>
      </c>
      <c r="C2" s="16" t="s">
        <v>89</v>
      </c>
      <c r="D2" s="16" t="s">
        <v>214</v>
      </c>
      <c r="E2" s="16" t="s">
        <v>215</v>
      </c>
      <c r="F2" s="16" t="s">
        <v>90</v>
      </c>
      <c r="G2" s="16" t="s">
        <v>90</v>
      </c>
      <c r="H2" s="16" t="s">
        <v>90</v>
      </c>
      <c r="I2" s="16" t="s">
        <v>210</v>
      </c>
      <c r="J2" s="16" t="s">
        <v>210</v>
      </c>
      <c r="K2" s="16" t="s">
        <v>211</v>
      </c>
      <c r="L2" s="16" t="s">
        <v>89</v>
      </c>
      <c r="M2" s="16" t="s">
        <v>214</v>
      </c>
      <c r="N2" s="16" t="s">
        <v>215</v>
      </c>
      <c r="O2" s="16" t="s">
        <v>90</v>
      </c>
      <c r="P2" s="16" t="s">
        <v>90</v>
      </c>
      <c r="Q2" s="16" t="s">
        <v>90</v>
      </c>
      <c r="R2" s="16" t="s">
        <v>210</v>
      </c>
      <c r="S2" s="16" t="s">
        <v>210</v>
      </c>
      <c r="T2" s="16" t="s">
        <v>211</v>
      </c>
    </row>
    <row r="3" spans="1:20" ht="90">
      <c r="C3" s="16"/>
      <c r="D3" s="16"/>
      <c r="E3" s="16"/>
      <c r="F3" s="16" t="s">
        <v>216</v>
      </c>
      <c r="G3" s="16" t="s">
        <v>396</v>
      </c>
      <c r="H3" s="16" t="s">
        <v>397</v>
      </c>
      <c r="I3" s="16" t="s">
        <v>398</v>
      </c>
      <c r="J3" s="16" t="s">
        <v>399</v>
      </c>
      <c r="K3" s="16"/>
      <c r="L3" s="16" t="s">
        <v>66</v>
      </c>
      <c r="M3" s="16" t="s">
        <v>67</v>
      </c>
      <c r="N3" s="16" t="s">
        <v>67</v>
      </c>
      <c r="O3" s="16" t="s">
        <v>68</v>
      </c>
      <c r="P3" s="16" t="s">
        <v>69</v>
      </c>
      <c r="Q3" s="16" t="s">
        <v>70</v>
      </c>
      <c r="R3" s="16" t="s">
        <v>62</v>
      </c>
      <c r="S3" s="16" t="s">
        <v>63</v>
      </c>
      <c r="T3" s="16" t="s">
        <v>64</v>
      </c>
    </row>
    <row r="4" spans="1:20">
      <c r="A4" s="4">
        <v>1780</v>
      </c>
      <c r="B4" s="56">
        <f t="shared" ref="B4:B20" si="0">C4</f>
        <v>15.051499908364692</v>
      </c>
      <c r="C4" s="56">
        <f>((L4/8)*1000/(35*0.4594))/XE!$D2</f>
        <v>15.051499908364692</v>
      </c>
      <c r="L4" s="56">
        <f>Moutoukias!D4</f>
        <v>8.503585528966239</v>
      </c>
    </row>
    <row r="5" spans="1:20">
      <c r="A5" s="4">
        <v>1781</v>
      </c>
      <c r="B5" s="56">
        <f t="shared" si="0"/>
        <v>14.941830881673507</v>
      </c>
      <c r="C5" s="56">
        <f>((L5/8)*1000/(35*0.4594))/XE!$D3</f>
        <v>14.941830881673507</v>
      </c>
      <c r="L5" s="56">
        <f>Moutoukias!D5</f>
        <v>8</v>
      </c>
    </row>
    <row r="6" spans="1:20">
      <c r="A6" s="4">
        <v>1782</v>
      </c>
      <c r="B6" s="56">
        <f t="shared" si="0"/>
        <v>15.401335755022965</v>
      </c>
      <c r="C6" s="56">
        <f>((L6/8)*1000/(35*0.4594))/XE!$D4</f>
        <v>15.401335755022965</v>
      </c>
      <c r="L6" s="56">
        <f>Moutoukias!D6</f>
        <v>8</v>
      </c>
    </row>
    <row r="7" spans="1:20">
      <c r="A7" s="4">
        <v>1783</v>
      </c>
      <c r="B7" s="56">
        <f t="shared" si="0"/>
        <v>17.547566590394084</v>
      </c>
      <c r="C7" s="56">
        <f>((L7/8)*1000/(35*0.4594))/XE!$D5</f>
        <v>17.547566590394084</v>
      </c>
      <c r="L7" s="56">
        <f>Moutoukias!D7</f>
        <v>9.4184406979057638</v>
      </c>
    </row>
    <row r="8" spans="1:20">
      <c r="A8" s="4">
        <v>1784</v>
      </c>
      <c r="B8" s="56">
        <f t="shared" si="0"/>
        <v>20.348407474824832</v>
      </c>
      <c r="C8" s="56">
        <f>((L8/8)*1000/(35*0.4594))/XE!$D6</f>
        <v>20.348407474824832</v>
      </c>
      <c r="L8" s="56">
        <f>Moutoukias!D8</f>
        <v>11.6</v>
      </c>
    </row>
    <row r="9" spans="1:20">
      <c r="A9" s="4">
        <v>1785</v>
      </c>
      <c r="B9" s="56">
        <f t="shared" si="0"/>
        <v>14.897526670088171</v>
      </c>
      <c r="C9" s="56">
        <f>((L9/8)*1000/(35*0.4594))/XE!$D7</f>
        <v>14.897526670088171</v>
      </c>
      <c r="L9" s="56">
        <f>Moutoukias!D9</f>
        <v>8.8001950181721487</v>
      </c>
    </row>
    <row r="10" spans="1:20">
      <c r="A10" s="4">
        <v>1786</v>
      </c>
      <c r="B10" s="56">
        <f t="shared" si="0"/>
        <v>13.799718008058166</v>
      </c>
      <c r="C10" s="56">
        <f>((L10/8)*1000/(35*0.4594))/XE!$D8</f>
        <v>13.799718008058166</v>
      </c>
      <c r="L10" s="56">
        <f>Moutoukias!D10</f>
        <v>8</v>
      </c>
    </row>
    <row r="11" spans="1:20">
      <c r="A11" s="4">
        <v>1787</v>
      </c>
      <c r="B11" s="56">
        <f t="shared" si="0"/>
        <v>18.0145694692504</v>
      </c>
      <c r="C11" s="56">
        <f>((L11/8)*1000/(35*0.4594))/XE!$D9</f>
        <v>18.0145694692504</v>
      </c>
      <c r="L11" s="56">
        <f>Moutoukias!D11</f>
        <v>10.399993570268924</v>
      </c>
    </row>
    <row r="12" spans="1:20">
      <c r="A12" s="4">
        <v>1788</v>
      </c>
      <c r="B12" s="56">
        <f t="shared" si="0"/>
        <v>18.250265969789552</v>
      </c>
      <c r="C12" s="56">
        <f>((L12/8)*1000/(35*0.4594))/XE!$D10</f>
        <v>18.250265969789552</v>
      </c>
      <c r="L12" s="56">
        <f>Moutoukias!D12</f>
        <v>10.4</v>
      </c>
    </row>
    <row r="13" spans="1:20">
      <c r="A13" s="4">
        <v>1789</v>
      </c>
      <c r="B13" s="56">
        <f t="shared" si="0"/>
        <v>16.946750995736167</v>
      </c>
      <c r="C13" s="56">
        <f>((L13/8)*1000/(35*0.4594))/XE!$D11</f>
        <v>16.946750995736167</v>
      </c>
      <c r="L13" s="56">
        <f>Moutoukias!D13</f>
        <v>9.76</v>
      </c>
    </row>
    <row r="14" spans="1:20">
      <c r="A14" s="4">
        <v>1790</v>
      </c>
      <c r="B14" s="56">
        <f t="shared" si="0"/>
        <v>8.5842767181662172</v>
      </c>
      <c r="C14" s="56">
        <f>((L14/8)*1000/(35*0.4594))/XE!$D12</f>
        <v>8.5842767181662172</v>
      </c>
      <c r="L14" s="56">
        <f>Moutoukias!D14</f>
        <v>4.9665313882930553</v>
      </c>
    </row>
    <row r="15" spans="1:20">
      <c r="A15" s="4">
        <v>1791</v>
      </c>
      <c r="B15" s="56">
        <f t="shared" si="0"/>
        <v>15.587917859022225</v>
      </c>
      <c r="C15" s="56">
        <f>((L15/8)*1000/(35*0.4594))/XE!$D13</f>
        <v>15.587917859022225</v>
      </c>
      <c r="L15" s="56">
        <f>Moutoukias!D15</f>
        <v>8.9979462757115964</v>
      </c>
    </row>
    <row r="16" spans="1:20">
      <c r="A16" s="4">
        <v>1792</v>
      </c>
      <c r="B16" s="56">
        <f t="shared" si="0"/>
        <v>14.096764447927395</v>
      </c>
      <c r="C16" s="56">
        <f>((L16/8)*1000/(35*0.4594))/XE!$D14</f>
        <v>14.096764447927395</v>
      </c>
      <c r="L16" s="56">
        <f>Moutoukias!D16</f>
        <v>8</v>
      </c>
    </row>
    <row r="17" spans="1:12">
      <c r="A17" s="4">
        <v>1793</v>
      </c>
      <c r="B17" s="56">
        <f t="shared" si="0"/>
        <v>13.695357891897988</v>
      </c>
      <c r="C17" s="56">
        <f>((L17/8)*1000/(35*0.4594))/XE!$D15</f>
        <v>13.695357891897988</v>
      </c>
      <c r="L17" s="56">
        <f>Moutoukias!D17</f>
        <v>8</v>
      </c>
    </row>
    <row r="18" spans="1:12">
      <c r="A18" s="4">
        <v>1794</v>
      </c>
      <c r="B18" s="56">
        <f t="shared" si="0"/>
        <v>15.524926720958328</v>
      </c>
      <c r="C18" s="56">
        <f>((L18/8)*1000/(35*0.4594))/XE!$D16</f>
        <v>15.524926720958328</v>
      </c>
      <c r="L18" s="56">
        <f>Moutoukias!D18</f>
        <v>9.1999999999999993</v>
      </c>
    </row>
    <row r="19" spans="1:12">
      <c r="A19" s="4">
        <v>1795</v>
      </c>
      <c r="B19" s="56">
        <f t="shared" si="0"/>
        <v>24.253406648513526</v>
      </c>
      <c r="C19" s="56">
        <f>((L19/8)*1000/(35*0.4594))/XE!$D17</f>
        <v>24.253406648513526</v>
      </c>
      <c r="L19" s="56">
        <f>Moutoukias!D19</f>
        <v>14</v>
      </c>
    </row>
    <row r="20" spans="1:12">
      <c r="A20" s="4">
        <v>1796</v>
      </c>
      <c r="B20" s="56">
        <f t="shared" si="0"/>
        <v>24.493722415610076</v>
      </c>
      <c r="C20" s="56">
        <f>((L20/8)*1000/(35*0.4594))/XE!$D18</f>
        <v>24.493722415610076</v>
      </c>
      <c r="L20" s="56">
        <f>Moutoukias!D20</f>
        <v>14</v>
      </c>
    </row>
    <row r="21" spans="1:12">
      <c r="A21" s="4">
        <v>1797</v>
      </c>
    </row>
    <row r="22" spans="1:12">
      <c r="A22" s="4">
        <v>1798</v>
      </c>
    </row>
    <row r="23" spans="1:12">
      <c r="A23" s="4">
        <v>1799</v>
      </c>
    </row>
    <row r="24" spans="1:12">
      <c r="A24" s="4">
        <v>1800</v>
      </c>
    </row>
    <row r="25" spans="1:12">
      <c r="A25" s="4">
        <v>1801</v>
      </c>
    </row>
    <row r="26" spans="1:12">
      <c r="A26" s="4">
        <v>1802</v>
      </c>
    </row>
    <row r="27" spans="1:12">
      <c r="A27" s="4">
        <v>1803</v>
      </c>
    </row>
    <row r="28" spans="1:12">
      <c r="A28" s="4">
        <v>1804</v>
      </c>
    </row>
    <row r="29" spans="1:12">
      <c r="A29" s="4">
        <v>1805</v>
      </c>
    </row>
    <row r="30" spans="1:12">
      <c r="A30" s="4">
        <v>1806</v>
      </c>
    </row>
    <row r="31" spans="1:12">
      <c r="A31" s="4">
        <v>1807</v>
      </c>
    </row>
    <row r="32" spans="1:12">
      <c r="A32" s="4">
        <v>1808</v>
      </c>
    </row>
    <row r="33" spans="1:14">
      <c r="A33" s="4">
        <v>1809</v>
      </c>
    </row>
    <row r="34" spans="1:14">
      <c r="A34" s="4">
        <v>1810</v>
      </c>
      <c r="B34" s="56">
        <f t="shared" ref="B34:B44" si="1">D34</f>
        <v>23.159868262742275</v>
      </c>
      <c r="D34" s="56">
        <f>((M34/8)*1000/(35*0.4594))/XE!$D32</f>
        <v>23.159868262742275</v>
      </c>
      <c r="M34" s="56">
        <f>'Anon. 1'!B2</f>
        <v>12</v>
      </c>
    </row>
    <row r="35" spans="1:14">
      <c r="A35" s="4">
        <v>1811</v>
      </c>
      <c r="B35" s="56">
        <f t="shared" si="1"/>
        <v>23.466438532087448</v>
      </c>
      <c r="D35" s="56">
        <f>((M35/8)*1000/(35*0.4594))/XE!$D33</f>
        <v>23.466438532087448</v>
      </c>
      <c r="M35" s="56">
        <f>'Anon. 1'!B3</f>
        <v>12</v>
      </c>
    </row>
    <row r="36" spans="1:14">
      <c r="A36" s="4">
        <v>1812</v>
      </c>
      <c r="B36" s="56">
        <f t="shared" si="1"/>
        <v>42.213709198223938</v>
      </c>
      <c r="D36" s="56">
        <f>((M36/8)*1000/(35*0.4594))/XE!$D34</f>
        <v>42.213709198223938</v>
      </c>
      <c r="M36" s="56">
        <f>'Anon. 1'!B4</f>
        <v>20</v>
      </c>
    </row>
    <row r="37" spans="1:14">
      <c r="A37" s="4">
        <v>1813</v>
      </c>
      <c r="B37" s="56">
        <f t="shared" si="1"/>
        <v>45.665338726903997</v>
      </c>
      <c r="D37" s="56">
        <f>((M37/8)*1000/(35*0.4594))/XE!$D35</f>
        <v>45.665338726903997</v>
      </c>
      <c r="M37" s="56">
        <f>'Anon. 1'!B5</f>
        <v>20</v>
      </c>
    </row>
    <row r="38" spans="1:14">
      <c r="A38" s="4">
        <v>1814</v>
      </c>
      <c r="B38" s="56">
        <f t="shared" si="1"/>
        <v>42.018547143310961</v>
      </c>
      <c r="D38" s="56">
        <f>((M38/8)*1000/(35*0.4594))/XE!$D36</f>
        <v>42.018547143310961</v>
      </c>
      <c r="M38" s="56">
        <f>'Anon. 1'!B6</f>
        <v>20</v>
      </c>
    </row>
    <row r="39" spans="1:14">
      <c r="A39" s="4">
        <v>1815</v>
      </c>
      <c r="B39" s="56">
        <f t="shared" si="1"/>
        <v>42.380544837270556</v>
      </c>
      <c r="D39" s="56">
        <f>((M39/8)*1000/(35*0.4594))/XE!$D37</f>
        <v>42.380544837270556</v>
      </c>
      <c r="M39" s="56">
        <f>'Anon. 1'!B7</f>
        <v>20</v>
      </c>
    </row>
    <row r="40" spans="1:14">
      <c r="A40" s="4">
        <v>1816</v>
      </c>
      <c r="B40" s="56">
        <f t="shared" si="1"/>
        <v>54.594615177907528</v>
      </c>
      <c r="D40" s="56">
        <f>((M40/8)*1000/(35*0.4594))/XE!$D38</f>
        <v>54.594615177907528</v>
      </c>
      <c r="M40" s="56">
        <f>'Anon. 1'!B8</f>
        <v>32</v>
      </c>
    </row>
    <row r="41" spans="1:14">
      <c r="A41" s="4">
        <v>1817</v>
      </c>
      <c r="B41" s="56">
        <f t="shared" si="1"/>
        <v>55.903169804961507</v>
      </c>
      <c r="D41" s="56">
        <f>((M41/8)*1000/(35*0.4594))/XE!$D39</f>
        <v>55.903169804961507</v>
      </c>
      <c r="M41" s="56">
        <f>'Anon. 1'!B9</f>
        <v>32</v>
      </c>
    </row>
    <row r="42" spans="1:14">
      <c r="A42" s="4">
        <v>1818</v>
      </c>
      <c r="B42" s="56">
        <f t="shared" si="1"/>
        <v>57.769469027153235</v>
      </c>
      <c r="D42" s="56">
        <f>((M42/8)*1000/(35*0.4594))/XE!$D40</f>
        <v>57.769469027153235</v>
      </c>
      <c r="M42" s="56">
        <f>'Anon. 1'!B10</f>
        <v>32</v>
      </c>
    </row>
    <row r="43" spans="1:14">
      <c r="A43" s="4">
        <v>1819</v>
      </c>
      <c r="B43" s="56">
        <f t="shared" si="1"/>
        <v>57.125917571225038</v>
      </c>
      <c r="D43" s="56">
        <f>((M43/8)*1000/(35*0.4594))/XE!$D41</f>
        <v>57.125917571225038</v>
      </c>
      <c r="M43" s="56">
        <f>'Anon. 1'!B11</f>
        <v>32</v>
      </c>
    </row>
    <row r="44" spans="1:14">
      <c r="A44" s="4">
        <v>1820</v>
      </c>
      <c r="B44" s="56">
        <f t="shared" si="1"/>
        <v>54.01541886757218</v>
      </c>
      <c r="D44" s="56">
        <f>((M44/8)*1000/(35*0.4594))/XE!$D42</f>
        <v>54.01541886757218</v>
      </c>
      <c r="M44" s="56">
        <f>'Anon. 1'!B12</f>
        <v>32</v>
      </c>
    </row>
    <row r="45" spans="1:14">
      <c r="A45" s="4">
        <v>1821</v>
      </c>
      <c r="B45" s="56">
        <f>E45</f>
        <v>71.128301211095788</v>
      </c>
      <c r="D45" s="56">
        <f>((M45/8)*1000/(35*0.4594))/XE!$D43</f>
        <v>79.092473933573686</v>
      </c>
      <c r="E45" s="56">
        <f>((N45/8)*1000/(35*0.4594))/XE!$D43</f>
        <v>71.128301211095788</v>
      </c>
      <c r="M45" s="56">
        <f>'Anon. 1'!B13</f>
        <v>48</v>
      </c>
      <c r="N45" s="56">
        <f>'Anon. 2'!B4</f>
        <v>43.166666666666664</v>
      </c>
    </row>
    <row r="46" spans="1:14">
      <c r="A46" s="4">
        <v>1822</v>
      </c>
      <c r="B46" s="56">
        <f>E46</f>
        <v>77.201873940259674</v>
      </c>
      <c r="D46" s="56">
        <f>((M46/8)*1000/(35*0.4594))/XE!$D44</f>
        <v>79.478604807130594</v>
      </c>
      <c r="E46" s="56">
        <f>((N46/8)*1000/(35*0.4594))/XE!$D44</f>
        <v>77.201873940259674</v>
      </c>
      <c r="M46" s="56">
        <f>'Anon. 1'!B14</f>
        <v>48</v>
      </c>
      <c r="N46" s="56">
        <f>'Anon. 2'!B5</f>
        <v>46.625</v>
      </c>
    </row>
    <row r="47" spans="1:14">
      <c r="A47" s="4">
        <v>1823</v>
      </c>
      <c r="B47" s="56">
        <f>E47</f>
        <v>71.691619657263246</v>
      </c>
      <c r="D47" s="56">
        <f>((M47/8)*1000/(35*0.4594))/XE!$E45</f>
        <v>70.830828340623711</v>
      </c>
      <c r="E47" s="56">
        <f>((N47/8)*1000/(35*0.4594))/XE!$E45</f>
        <v>71.691619657263246</v>
      </c>
      <c r="M47" s="56">
        <f>'Anon. 1'!B15</f>
        <v>48</v>
      </c>
      <c r="N47" s="56">
        <f>'Anon. 2'!B6</f>
        <v>48.583333333333336</v>
      </c>
    </row>
    <row r="48" spans="1:14">
      <c r="A48" s="4">
        <v>1824</v>
      </c>
      <c r="D48" s="56">
        <f>((M48/8)*1000/(35*0.4594))/XE!$E46</f>
        <v>61.89794906651602</v>
      </c>
      <c r="M48" s="56">
        <f>'Anon. 1'!B16</f>
        <v>48</v>
      </c>
    </row>
    <row r="49" spans="1:17">
      <c r="A49" s="4">
        <v>1825</v>
      </c>
      <c r="M49" s="56"/>
    </row>
    <row r="50" spans="1:17">
      <c r="A50" s="4">
        <v>1826</v>
      </c>
    </row>
    <row r="51" spans="1:17">
      <c r="A51" s="4">
        <v>1827</v>
      </c>
    </row>
    <row r="52" spans="1:17">
      <c r="A52" s="4">
        <v>1828</v>
      </c>
    </row>
    <row r="53" spans="1:17">
      <c r="A53" s="4">
        <v>1829</v>
      </c>
      <c r="B53" s="56">
        <f t="shared" ref="B53:B64" si="2">F53</f>
        <v>57.284004881778266</v>
      </c>
      <c r="F53" s="56">
        <f>(O53*1000/(35*0.4594))/XE!$E51</f>
        <v>57.284004881778266</v>
      </c>
      <c r="O53" s="54">
        <f>Broide!D4</f>
        <v>23.330000000000002</v>
      </c>
    </row>
    <row r="54" spans="1:17">
      <c r="A54" s="4">
        <v>1830</v>
      </c>
      <c r="B54" s="56">
        <f t="shared" si="2"/>
        <v>63.038956514817663</v>
      </c>
      <c r="F54" s="56">
        <f>(O54*1000/(35*0.4594))/XE!$E52</f>
        <v>63.038956514817663</v>
      </c>
      <c r="O54" s="54">
        <f>Broide!D5</f>
        <v>34.302500000000002</v>
      </c>
    </row>
    <row r="55" spans="1:17">
      <c r="A55" s="4">
        <v>1831</v>
      </c>
      <c r="B55" s="56">
        <f t="shared" si="2"/>
        <v>57.427278180164187</v>
      </c>
      <c r="F55" s="56">
        <f>(O55*1000/(35*0.4594))/XE!$E53</f>
        <v>57.427278180164187</v>
      </c>
      <c r="O55" s="54">
        <f>Broide!D6</f>
        <v>31.404999999999998</v>
      </c>
    </row>
    <row r="56" spans="1:17">
      <c r="A56" s="4">
        <v>1832</v>
      </c>
      <c r="B56" s="56">
        <f t="shared" si="2"/>
        <v>57.64390610601636</v>
      </c>
      <c r="F56" s="56">
        <f>(O56*1000/(35*0.4594))/XE!$E54</f>
        <v>57.64390610601636</v>
      </c>
      <c r="O56" s="54">
        <f>Broide!D7</f>
        <v>31.145</v>
      </c>
    </row>
    <row r="57" spans="1:17">
      <c r="A57" s="4">
        <v>1833</v>
      </c>
      <c r="B57" s="56">
        <f t="shared" si="2"/>
        <v>58.289449892227616</v>
      </c>
      <c r="F57" s="56">
        <f>(O57*1000/(35*0.4594))/XE!$E55</f>
        <v>58.289449892227616</v>
      </c>
      <c r="O57" s="54">
        <f>Broide!D8</f>
        <v>32.828333333333333</v>
      </c>
    </row>
    <row r="58" spans="1:17">
      <c r="A58" s="4">
        <v>1834</v>
      </c>
      <c r="B58" s="56">
        <f t="shared" si="2"/>
        <v>61.722761996563875</v>
      </c>
      <c r="F58" s="56">
        <f>(O58*1000/(35*0.4594))/XE!$E56</f>
        <v>61.722761996563875</v>
      </c>
      <c r="O58" s="54">
        <f>Broide!D9</f>
        <v>33.498333333333335</v>
      </c>
    </row>
    <row r="59" spans="1:17">
      <c r="A59" s="4">
        <v>1835</v>
      </c>
      <c r="B59" s="56">
        <f t="shared" si="2"/>
        <v>57.246517970152553</v>
      </c>
      <c r="F59" s="56">
        <f>(O59*1000/(35*0.4594))/XE!$E57</f>
        <v>57.246517970152553</v>
      </c>
      <c r="O59" s="54">
        <f>Broide!D10</f>
        <v>32.249166666666667</v>
      </c>
    </row>
    <row r="60" spans="1:17">
      <c r="A60" s="4">
        <v>1836</v>
      </c>
      <c r="B60" s="56">
        <f t="shared" si="2"/>
        <v>56.065019038289009</v>
      </c>
      <c r="F60" s="56">
        <f>(O60*1000/(35*0.4594))/XE!$E58</f>
        <v>56.065019038289009</v>
      </c>
      <c r="O60" s="54">
        <f>Broide!D11</f>
        <v>30.91416666666667</v>
      </c>
    </row>
    <row r="61" spans="1:17">
      <c r="A61" s="4">
        <v>1837</v>
      </c>
      <c r="B61" s="56">
        <f t="shared" si="2"/>
        <v>52.754869784789193</v>
      </c>
      <c r="F61" s="56">
        <f>(O61*1000/(35*0.4594))/XE!$E59</f>
        <v>52.754869784789193</v>
      </c>
      <c r="O61" s="54">
        <f>Broide!D12</f>
        <v>32.600833333333334</v>
      </c>
    </row>
    <row r="62" spans="1:17">
      <c r="A62" s="4">
        <v>1838</v>
      </c>
      <c r="B62" s="56">
        <f t="shared" si="2"/>
        <v>47.159978796315166</v>
      </c>
      <c r="F62" s="56">
        <f>(O62*1000/(35*0.4594))/XE!$E60</f>
        <v>47.159978796315166</v>
      </c>
      <c r="O62" s="54">
        <f>Broide!D13</f>
        <v>32.263333333333335</v>
      </c>
    </row>
    <row r="63" spans="1:17">
      <c r="A63" s="4">
        <v>1839</v>
      </c>
      <c r="B63" s="56">
        <f t="shared" si="2"/>
        <v>35.526044875046985</v>
      </c>
      <c r="F63" s="56">
        <f>(O63*1000/(35*0.4594))/XE!$E61</f>
        <v>35.526044875046985</v>
      </c>
      <c r="O63" s="54">
        <f>Broide!D14</f>
        <v>38.026666666666664</v>
      </c>
    </row>
    <row r="64" spans="1:17">
      <c r="A64" s="4">
        <v>1840</v>
      </c>
      <c r="B64" s="56">
        <f t="shared" si="2"/>
        <v>31.813989103031957</v>
      </c>
      <c r="F64" s="56">
        <f>(O64*1000/(35*0.4594))/XE!$E62</f>
        <v>31.813989103031957</v>
      </c>
      <c r="G64" s="75">
        <f>(P64*1000/(35*0.4594))/XE!$E62</f>
        <v>30.740128576738957</v>
      </c>
      <c r="H64" s="75">
        <f>(Q64*1000/(35*0.4594))/XE!$E62</f>
        <v>35.065920597289939</v>
      </c>
      <c r="O64" s="54">
        <f>Broide!D15</f>
        <v>51.363750000000003</v>
      </c>
      <c r="P64" s="76">
        <f>Broide!E15</f>
        <v>49.629999999999995</v>
      </c>
      <c r="Q64" s="76">
        <f>Broide!F15</f>
        <v>56.613999999999997</v>
      </c>
    </row>
    <row r="65" spans="1:17">
      <c r="A65" s="4">
        <v>1841</v>
      </c>
      <c r="B65" s="56">
        <f>G65</f>
        <v>42.950905296907685</v>
      </c>
      <c r="F65" s="56"/>
      <c r="G65" s="56">
        <f>(P65*1000/(35*0.4594))/XE!$E63</f>
        <v>42.950905296907685</v>
      </c>
      <c r="H65" s="56">
        <f>(Q65*1000/(35*0.4594))/XE!$E63</f>
        <v>46.751143057041027</v>
      </c>
      <c r="O65" s="54"/>
      <c r="P65" s="54">
        <f>Broide!E16</f>
        <v>61.841666666666669</v>
      </c>
      <c r="Q65" s="54">
        <f>Broide!F16</f>
        <v>67.313333333333333</v>
      </c>
    </row>
    <row r="66" spans="1:17">
      <c r="A66" s="4">
        <v>1842</v>
      </c>
      <c r="B66" s="56">
        <f t="shared" ref="B66:B75" si="3">G66</f>
        <v>42.953026587614914</v>
      </c>
      <c r="F66" s="56"/>
      <c r="G66" s="56">
        <f>(P66*1000/(35*0.4594))/XE!$E64</f>
        <v>42.953026587614914</v>
      </c>
      <c r="H66" s="56">
        <f>(Q66*1000/(35*0.4594))/XE!$E64</f>
        <v>45.893824237404203</v>
      </c>
      <c r="O66" s="54"/>
      <c r="P66" s="54">
        <f>Broide!E17</f>
        <v>56.427500000000009</v>
      </c>
      <c r="Q66" s="54">
        <f>Broide!F17</f>
        <v>60.290833333333332</v>
      </c>
    </row>
    <row r="67" spans="1:17">
      <c r="A67" s="4">
        <v>1843</v>
      </c>
      <c r="B67" s="56">
        <f t="shared" si="3"/>
        <v>42.866614038756929</v>
      </c>
      <c r="F67" s="56"/>
      <c r="G67" s="56">
        <f>(P67*1000/(35*0.4594))/XE!$E65</f>
        <v>42.866614038756929</v>
      </c>
      <c r="H67" s="56">
        <f>(Q67*1000/(35*0.4594))/XE!$E65</f>
        <v>45.622207725836034</v>
      </c>
      <c r="O67" s="54"/>
      <c r="P67" s="54">
        <f>Broide!E18</f>
        <v>54.420833333333341</v>
      </c>
      <c r="Q67" s="54">
        <f>Broide!F18</f>
        <v>57.919166666666662</v>
      </c>
    </row>
    <row r="68" spans="1:17">
      <c r="A68" s="4">
        <v>1844</v>
      </c>
      <c r="B68" s="56">
        <f t="shared" si="3"/>
        <v>43.381729207592258</v>
      </c>
      <c r="F68" s="56"/>
      <c r="G68" s="56">
        <f>(P68*1000/(35*0.4594))/XE!$E66</f>
        <v>43.381729207592258</v>
      </c>
      <c r="H68" s="56">
        <f>(Q68*1000/(35*0.4594))/XE!$E66</f>
        <v>47.422529955913561</v>
      </c>
      <c r="O68" s="54"/>
      <c r="P68" s="54">
        <f>Broide!E19</f>
        <v>45.126666666666665</v>
      </c>
      <c r="Q68" s="54">
        <f>Broide!F19</f>
        <v>49.329999999999991</v>
      </c>
    </row>
    <row r="69" spans="1:17">
      <c r="A69" s="4">
        <v>1845</v>
      </c>
      <c r="B69" s="56">
        <f t="shared" si="3"/>
        <v>33.386697828357313</v>
      </c>
      <c r="F69" s="56"/>
      <c r="G69" s="56">
        <f>(P69*1000/(35*0.4594))/XE!$E67</f>
        <v>33.386697828357313</v>
      </c>
      <c r="H69" s="56">
        <f>(Q69*1000/(35*0.4594))/XE!$E67</f>
        <v>37.520650681303998</v>
      </c>
      <c r="P69" s="54">
        <f>Broide!E20</f>
        <v>39.559999999999995</v>
      </c>
      <c r="Q69" s="54">
        <f>Broide!F20</f>
        <v>44.458333333333336</v>
      </c>
    </row>
    <row r="70" spans="1:17">
      <c r="A70" s="4">
        <v>1846</v>
      </c>
      <c r="B70" s="56">
        <f t="shared" si="3"/>
        <v>25.425893226820641</v>
      </c>
      <c r="F70" s="56"/>
      <c r="G70" s="56">
        <f>(P70*1000/(35*0.4594))/XE!$E68</f>
        <v>25.425893226820641</v>
      </c>
      <c r="H70" s="56">
        <f>(Q70*1000/(35*0.4594))/XE!$E68</f>
        <v>29.37416630556211</v>
      </c>
      <c r="P70" s="54">
        <f>Broide!E21</f>
        <v>41.284166666666664</v>
      </c>
      <c r="Q70" s="54">
        <f>Broide!F21</f>
        <v>47.694999999999993</v>
      </c>
    </row>
    <row r="71" spans="1:17">
      <c r="A71" s="4">
        <v>1847</v>
      </c>
      <c r="B71" s="56">
        <f t="shared" si="3"/>
        <v>24.845287369310586</v>
      </c>
      <c r="F71" s="56"/>
      <c r="G71" s="56">
        <f>(P71*1000/(35*0.4594))/XE!$E69</f>
        <v>24.845287369310586</v>
      </c>
      <c r="H71" s="56">
        <f>(Q71*1000/(35*0.4594))/XE!$E69</f>
        <v>27.894063344901845</v>
      </c>
      <c r="P71" s="54">
        <f>Broide!E22</f>
        <v>40.264166666666661</v>
      </c>
      <c r="Q71" s="54">
        <f>Broide!F22</f>
        <v>45.205000000000005</v>
      </c>
    </row>
    <row r="72" spans="1:17">
      <c r="A72" s="4">
        <v>1848</v>
      </c>
      <c r="B72" s="56">
        <f t="shared" si="3"/>
        <v>21.703201877742519</v>
      </c>
      <c r="F72" s="56"/>
      <c r="G72" s="56">
        <f>(P72*1000/(35*0.4594))/XE!$E70</f>
        <v>21.703201877742519</v>
      </c>
      <c r="H72" s="56">
        <f>(Q72*1000/(35*0.4594))/XE!$E70</f>
        <v>23.458171619486375</v>
      </c>
      <c r="P72" s="54">
        <f>Broide!E23</f>
        <v>39.624999999999993</v>
      </c>
      <c r="Q72" s="54">
        <f>Broide!F23</f>
        <v>42.829166666666673</v>
      </c>
    </row>
    <row r="73" spans="1:17">
      <c r="A73" s="4">
        <v>1849</v>
      </c>
      <c r="B73" s="56">
        <f t="shared" si="3"/>
        <v>27.847583017174557</v>
      </c>
      <c r="F73" s="56"/>
      <c r="G73" s="56">
        <f>(P73*1000/(35*0.4594))/XE!$E71</f>
        <v>27.847583017174557</v>
      </c>
      <c r="H73" s="56">
        <f>(Q73*1000/(35*0.4594))/XE!$E71</f>
        <v>28.774415145334835</v>
      </c>
      <c r="P73" s="54">
        <f>Broide!E24</f>
        <v>43.01583333333334</v>
      </c>
      <c r="Q73" s="54">
        <f>Broide!F24</f>
        <v>44.447499999999998</v>
      </c>
    </row>
    <row r="74" spans="1:17">
      <c r="A74" s="4">
        <v>1850</v>
      </c>
      <c r="B74" s="56">
        <f t="shared" si="3"/>
        <v>39.154211319973498</v>
      </c>
      <c r="F74" s="56"/>
      <c r="G74" s="56">
        <f>(P74*1000/(35*0.4594))/XE!$E72</f>
        <v>39.154211319973498</v>
      </c>
      <c r="H74" s="56">
        <f>(Q74*1000/(35*0.4594))/XE!$E72</f>
        <v>41.023816994684594</v>
      </c>
      <c r="P74" s="54">
        <f>Broide!E25</f>
        <v>44.310833333333335</v>
      </c>
      <c r="Q74" s="54">
        <f>Broide!F25</f>
        <v>46.426666666666669</v>
      </c>
    </row>
    <row r="75" spans="1:17">
      <c r="A75" s="4">
        <v>1851</v>
      </c>
      <c r="B75" s="56">
        <f t="shared" si="3"/>
        <v>43.390631390294445</v>
      </c>
      <c r="F75" s="56"/>
      <c r="G75" s="56">
        <f>(P75*1000/(35*0.4594))/XE!$E73</f>
        <v>43.390631390294445</v>
      </c>
      <c r="H75" s="56">
        <f>(Q75*1000/(35*0.4594))/XE!$E73</f>
        <v>45.766053975942896</v>
      </c>
      <c r="P75" s="54">
        <f>Broide!E26</f>
        <v>57.235000000000007</v>
      </c>
      <c r="Q75" s="54">
        <f>Broide!F26</f>
        <v>60.368333333333339</v>
      </c>
    </row>
    <row r="76" spans="1:17">
      <c r="A76" s="4">
        <v>1852</v>
      </c>
      <c r="F76" s="56"/>
    </row>
    <row r="77" spans="1:17">
      <c r="A77" s="4">
        <v>1853</v>
      </c>
      <c r="F77" s="56"/>
    </row>
    <row r="78" spans="1:17">
      <c r="A78" s="4">
        <v>1854</v>
      </c>
      <c r="F78" s="56"/>
    </row>
    <row r="79" spans="1:17">
      <c r="A79" s="4">
        <v>1855</v>
      </c>
      <c r="F79" s="56"/>
    </row>
    <row r="80" spans="1:17">
      <c r="A80" s="4">
        <v>1856</v>
      </c>
      <c r="F80" s="56"/>
    </row>
    <row r="81" spans="1:19">
      <c r="A81" s="4">
        <v>1857</v>
      </c>
      <c r="F81" s="56"/>
    </row>
    <row r="82" spans="1:19">
      <c r="A82" s="4">
        <v>1858</v>
      </c>
    </row>
    <row r="83" spans="1:19">
      <c r="A83" s="4">
        <v>1859</v>
      </c>
    </row>
    <row r="84" spans="1:19">
      <c r="A84" s="4">
        <v>1860</v>
      </c>
    </row>
    <row r="85" spans="1:19">
      <c r="A85" s="4">
        <v>1861</v>
      </c>
    </row>
    <row r="86" spans="1:19">
      <c r="A86" s="4">
        <v>1862</v>
      </c>
    </row>
    <row r="87" spans="1:19">
      <c r="A87" s="4">
        <v>1863</v>
      </c>
    </row>
    <row r="88" spans="1:19">
      <c r="A88" s="4">
        <v>1864</v>
      </c>
      <c r="B88" s="56">
        <f t="shared" ref="B88:B103" si="4">J88</f>
        <v>71.392316002227517</v>
      </c>
      <c r="I88" s="56">
        <f>(R88/XE!$F86)</f>
        <v>114.79170489998162</v>
      </c>
      <c r="J88" s="55">
        <f>(S88/XE!$F86)</f>
        <v>71.392316002227517</v>
      </c>
      <c r="R88" s="56">
        <f>'Cortes Conde et al'!L4</f>
        <v>556</v>
      </c>
      <c r="S88" s="55">
        <f>R88*10/(35*0.4594)</f>
        <v>345.79264879656694</v>
      </c>
    </row>
    <row r="89" spans="1:19">
      <c r="A89" s="4">
        <v>1865</v>
      </c>
      <c r="B89" s="56">
        <f t="shared" si="4"/>
        <v>63.010789767150847</v>
      </c>
      <c r="I89" s="56">
        <f>(R89/XE!$F87)</f>
        <v>101.31504886660184</v>
      </c>
      <c r="J89" s="55">
        <f>(S89/XE!$F87)</f>
        <v>63.010789767150847</v>
      </c>
      <c r="R89" s="56">
        <f>'Cortes Conde et al'!L5</f>
        <v>495</v>
      </c>
      <c r="S89" s="55">
        <f t="shared" ref="S89:S103" si="5">R89*10/(35*0.4594)</f>
        <v>307.85496610485728</v>
      </c>
    </row>
    <row r="90" spans="1:19">
      <c r="A90" s="4">
        <v>1866</v>
      </c>
      <c r="B90" s="56">
        <f t="shared" si="4"/>
        <v>67.02692683752035</v>
      </c>
      <c r="I90" s="56">
        <f>(R90/XE!$F88)</f>
        <v>107.77259566204899</v>
      </c>
      <c r="J90" s="55">
        <f>(S90/XE!$F88)</f>
        <v>67.02692683752035</v>
      </c>
      <c r="R90" s="56">
        <f>'Cortes Conde et al'!L6</f>
        <v>518</v>
      </c>
      <c r="S90" s="55">
        <f t="shared" si="5"/>
        <v>322.15933826730515</v>
      </c>
    </row>
    <row r="91" spans="1:19">
      <c r="A91" s="4">
        <v>1867</v>
      </c>
      <c r="B91" s="56">
        <f t="shared" si="4"/>
        <v>70.354838909223872</v>
      </c>
      <c r="I91" s="56">
        <f>(R91/XE!$F89)</f>
        <v>113.12354548214105</v>
      </c>
      <c r="J91" s="55">
        <f>(S91/XE!$F89)</f>
        <v>70.354838909223872</v>
      </c>
      <c r="R91" s="56">
        <f>'Cortes Conde et al'!L7</f>
        <v>559</v>
      </c>
      <c r="S91" s="55">
        <f t="shared" si="5"/>
        <v>347.65843646992971</v>
      </c>
    </row>
    <row r="92" spans="1:19">
      <c r="A92" s="4">
        <v>1868</v>
      </c>
      <c r="B92" s="56">
        <f t="shared" si="4"/>
        <v>74.963688985874384</v>
      </c>
      <c r="I92" s="56">
        <f>(R92/XE!$F90)</f>
        <v>120.53411552038743</v>
      </c>
      <c r="J92" s="55">
        <f>(S92/XE!$F90)</f>
        <v>74.963688985874384</v>
      </c>
      <c r="R92" s="56">
        <f>'Cortes Conde et al'!L8</f>
        <v>589</v>
      </c>
      <c r="S92" s="55">
        <f t="shared" si="5"/>
        <v>366.3163132035574</v>
      </c>
    </row>
    <row r="93" spans="1:19">
      <c r="A93" s="4">
        <v>1869</v>
      </c>
      <c r="B93" s="56">
        <f t="shared" si="4"/>
        <v>72.078930581649445</v>
      </c>
      <c r="I93" s="56">
        <f>(R93/XE!$F91)</f>
        <v>115.89571248223415</v>
      </c>
      <c r="J93" s="55">
        <f>(S93/XE!$F91)</f>
        <v>72.078930581649445</v>
      </c>
      <c r="R93" s="56">
        <f>'Cortes Conde et al'!L9</f>
        <v>554</v>
      </c>
      <c r="S93" s="55">
        <f t="shared" si="5"/>
        <v>344.54879034765844</v>
      </c>
    </row>
    <row r="94" spans="1:19">
      <c r="A94" s="4">
        <v>1870</v>
      </c>
      <c r="B94" s="56">
        <f t="shared" si="4"/>
        <v>77.054903129041392</v>
      </c>
      <c r="I94" s="56">
        <f>(R94/XE!$F92)</f>
        <v>123.89657874118566</v>
      </c>
      <c r="J94" s="55">
        <f>(S94/XE!$F92)</f>
        <v>77.054903129041392</v>
      </c>
      <c r="R94" s="56">
        <f>'Cortes Conde et al'!L10</f>
        <v>593</v>
      </c>
      <c r="S94" s="55">
        <f t="shared" si="5"/>
        <v>368.80403010137445</v>
      </c>
    </row>
    <row r="95" spans="1:19">
      <c r="A95" s="4">
        <v>1871</v>
      </c>
      <c r="B95" s="56">
        <f t="shared" si="4"/>
        <v>81.22808272778947</v>
      </c>
      <c r="I95" s="56">
        <f>(R95/XE!$F93)</f>
        <v>130.60663421801272</v>
      </c>
      <c r="J95" s="55">
        <f>(S95/XE!$F93)</f>
        <v>81.22808272778947</v>
      </c>
      <c r="R95" s="56">
        <f>'Cortes Conde et al'!L11</f>
        <v>620</v>
      </c>
      <c r="S95" s="55">
        <f t="shared" si="5"/>
        <v>385.59611916163936</v>
      </c>
    </row>
    <row r="96" spans="1:19">
      <c r="A96" s="4">
        <v>1872</v>
      </c>
      <c r="B96" s="56">
        <f t="shared" si="4"/>
        <v>97.826102301284166</v>
      </c>
      <c r="I96" s="56">
        <f>(R96/XE!$F94)</f>
        <v>157.29458989023482</v>
      </c>
      <c r="J96" s="55">
        <f>(S96/XE!$F94)</f>
        <v>97.826102301284166</v>
      </c>
      <c r="R96" s="56">
        <f>'Cortes Conde et al'!L12</f>
        <v>738</v>
      </c>
      <c r="S96" s="55">
        <f t="shared" si="5"/>
        <v>458.98376764724173</v>
      </c>
    </row>
    <row r="97" spans="1:19">
      <c r="A97" s="4">
        <v>1873</v>
      </c>
      <c r="B97" s="56">
        <f t="shared" si="4"/>
        <v>100.52417523392177</v>
      </c>
      <c r="I97" s="56">
        <f>(R97/XE!$F95)</f>
        <v>161.63282135862281</v>
      </c>
      <c r="J97" s="55">
        <f>(S97/XE!$F95)</f>
        <v>100.52417523392177</v>
      </c>
      <c r="R97" s="56">
        <f>'Cortes Conde et al'!L13</f>
        <v>784</v>
      </c>
      <c r="S97" s="55">
        <f t="shared" si="5"/>
        <v>487.59251197213757</v>
      </c>
    </row>
    <row r="98" spans="1:19">
      <c r="A98" s="4">
        <v>1874</v>
      </c>
      <c r="B98" s="56">
        <f t="shared" si="4"/>
        <v>93.391815499204881</v>
      </c>
      <c r="I98" s="56">
        <f>(R98/XE!$F96)</f>
        <v>150.16470014117155</v>
      </c>
      <c r="J98" s="55">
        <f>(S98/XE!$F96)</f>
        <v>93.391815499204881</v>
      </c>
      <c r="R98" s="56">
        <f>'Cortes Conde et al'!L14</f>
        <v>718</v>
      </c>
      <c r="S98" s="55">
        <f t="shared" si="5"/>
        <v>446.54518315815659</v>
      </c>
    </row>
    <row r="99" spans="1:19">
      <c r="A99" s="4">
        <v>1875</v>
      </c>
      <c r="B99" s="56">
        <f t="shared" si="4"/>
        <v>87.080055808091444</v>
      </c>
      <c r="I99" s="56">
        <f>(R99/XE!$F97)</f>
        <v>140.01602173383023</v>
      </c>
      <c r="J99" s="55">
        <f>(S99/XE!$F97)</f>
        <v>87.080055808091444</v>
      </c>
      <c r="R99" s="56">
        <f>'Cortes Conde et al'!L15</f>
        <v>670</v>
      </c>
      <c r="S99" s="55">
        <f t="shared" si="5"/>
        <v>416.69258038435225</v>
      </c>
    </row>
    <row r="100" spans="1:19">
      <c r="A100" s="4">
        <v>1876</v>
      </c>
      <c r="B100" s="56">
        <f t="shared" si="4"/>
        <v>79.584913933536498</v>
      </c>
      <c r="I100" s="56">
        <f>(R100/XE!$F98)</f>
        <v>127.96458311373334</v>
      </c>
      <c r="J100" s="55">
        <f>(S100/XE!$F98)</f>
        <v>79.584913933536498</v>
      </c>
      <c r="R100" s="56">
        <f>'Cortes Conde et al'!L16</f>
        <v>607</v>
      </c>
      <c r="S100" s="55">
        <f t="shared" si="5"/>
        <v>377.51103924373405</v>
      </c>
    </row>
    <row r="101" spans="1:19">
      <c r="A101" s="4">
        <v>1877</v>
      </c>
      <c r="B101" s="56">
        <f t="shared" si="4"/>
        <v>89.422889575737344</v>
      </c>
      <c r="I101" s="56">
        <f>(R101/XE!$F99)</f>
        <v>143.78306414882809</v>
      </c>
      <c r="J101" s="55">
        <f>(S101/XE!$F99)</f>
        <v>89.422889575737344</v>
      </c>
      <c r="R101" s="56">
        <f>'Cortes Conde et al'!L17</f>
        <v>684</v>
      </c>
      <c r="S101" s="55">
        <f t="shared" si="5"/>
        <v>425.39958952671185</v>
      </c>
    </row>
    <row r="102" spans="1:19">
      <c r="A102" s="4">
        <v>1878</v>
      </c>
      <c r="B102" s="56">
        <f t="shared" si="4"/>
        <v>82.240370360232532</v>
      </c>
      <c r="I102" s="56">
        <f>(R102/XE!$F100)</f>
        <v>132.23429150221787</v>
      </c>
      <c r="J102" s="55">
        <f>(S102/XE!$F100)</f>
        <v>82.240370360232532</v>
      </c>
      <c r="R102" s="56">
        <f>'Cortes Conde et al'!L18</f>
        <v>631</v>
      </c>
      <c r="S102" s="55">
        <f t="shared" si="5"/>
        <v>392.43734063063624</v>
      </c>
    </row>
    <row r="103" spans="1:19">
      <c r="A103" s="4">
        <v>1879</v>
      </c>
      <c r="B103" s="56">
        <f t="shared" si="4"/>
        <v>86.044393798178774</v>
      </c>
      <c r="I103" s="56">
        <f>(R103/XE!$F101)</f>
        <v>138.35078078809164</v>
      </c>
      <c r="J103" s="55">
        <f>(S103/XE!$F101)</f>
        <v>86.044393798178774</v>
      </c>
      <c r="R103" s="56">
        <f>'Cortes Conde et al'!L19</f>
        <v>663</v>
      </c>
      <c r="S103" s="55">
        <f t="shared" si="5"/>
        <v>412.33907581317243</v>
      </c>
    </row>
    <row r="104" spans="1:19">
      <c r="A104" s="4">
        <v>1880</v>
      </c>
      <c r="I104" s="56">
        <f>(R104/XE!$F102)</f>
        <v>156.66070865313847</v>
      </c>
      <c r="J104" s="56"/>
      <c r="R104" s="56">
        <f>'Cortes Conde et al'!L20</f>
        <v>745</v>
      </c>
      <c r="S104" s="56"/>
    </row>
    <row r="105" spans="1:19">
      <c r="A105" s="4">
        <v>1881</v>
      </c>
      <c r="I105" s="56">
        <f>(R105/XE!$F103)</f>
        <v>124.26749698252486</v>
      </c>
      <c r="J105" s="56"/>
      <c r="R105" s="56">
        <f>'Cortes Conde et al'!L21</f>
        <v>592</v>
      </c>
      <c r="S105" s="56"/>
    </row>
    <row r="106" spans="1:19">
      <c r="A106" s="4">
        <v>1882</v>
      </c>
      <c r="I106" s="56">
        <f>(R106/XE!$F104)</f>
        <v>121.64377765632987</v>
      </c>
      <c r="J106" s="56"/>
      <c r="R106" s="56">
        <f>'Cortes Conde et al'!L22</f>
        <v>575</v>
      </c>
    </row>
    <row r="107" spans="1:19">
      <c r="A107" s="4">
        <v>1883</v>
      </c>
      <c r="I107" s="56">
        <f>(R107/XE!$F105)</f>
        <v>120.1848998459168</v>
      </c>
      <c r="J107" s="56"/>
      <c r="R107" s="56">
        <f>'Cortes Conde et al'!L23</f>
        <v>572</v>
      </c>
    </row>
    <row r="108" spans="1:19">
      <c r="A108" s="4">
        <v>1884</v>
      </c>
      <c r="I108" s="56">
        <f>(R108/XE!$F106)</f>
        <v>128.54417687052646</v>
      </c>
      <c r="J108" s="56"/>
      <c r="R108" s="56">
        <f>'Cortes Conde et al'!L24</f>
        <v>657</v>
      </c>
    </row>
    <row r="109" spans="1:19">
      <c r="A109" s="4">
        <v>1885</v>
      </c>
      <c r="I109" s="56">
        <f>(R109/XE!$F107)</f>
        <v>116.19403336419705</v>
      </c>
      <c r="J109" s="56"/>
      <c r="R109" s="56">
        <f>'Cortes Conde et al'!L25</f>
        <v>617</v>
      </c>
    </row>
    <row r="110" spans="1:19">
      <c r="A110" s="4">
        <v>1886</v>
      </c>
      <c r="I110" s="56">
        <f>(R110/XE!$F108)</f>
        <v>82.009057225195548</v>
      </c>
      <c r="J110" s="56"/>
      <c r="R110" s="56">
        <f>'Cortes Conde et al'!L26</f>
        <v>415</v>
      </c>
    </row>
    <row r="111" spans="1:19">
      <c r="A111" s="4">
        <v>1887</v>
      </c>
      <c r="I111" s="56">
        <f>(R111/XE!$F109)</f>
        <v>76.668477992392454</v>
      </c>
      <c r="J111" s="56"/>
      <c r="R111" s="56">
        <f>'Cortes Conde et al'!L27</f>
        <v>388</v>
      </c>
    </row>
    <row r="112" spans="1:19">
      <c r="A112" s="4">
        <v>1888</v>
      </c>
      <c r="I112" s="56">
        <f>(R112/XE!$F110)</f>
        <v>48.272551194398005</v>
      </c>
      <c r="J112" s="56"/>
      <c r="R112" s="56">
        <f>'Cortes Conde et al'!L28</f>
        <v>243</v>
      </c>
    </row>
    <row r="113" spans="1:20">
      <c r="A113" s="4">
        <v>1889</v>
      </c>
      <c r="I113" s="56">
        <f>(R113/XE!$F111)</f>
        <v>43.332113022930749</v>
      </c>
      <c r="J113" s="56"/>
      <c r="R113" s="56">
        <f>'Cortes Conde et al'!L29</f>
        <v>217</v>
      </c>
    </row>
    <row r="114" spans="1:20">
      <c r="A114" s="4">
        <v>1890</v>
      </c>
      <c r="B114" s="56">
        <f>I114</f>
        <v>39.56097850850113</v>
      </c>
      <c r="I114" s="56">
        <f>(R114/XE!$F112)</f>
        <v>39.56097850850113</v>
      </c>
      <c r="J114" s="56"/>
      <c r="R114" s="56">
        <f>'Cortes Conde et al'!L30</f>
        <v>197</v>
      </c>
      <c r="S114" s="56"/>
    </row>
    <row r="115" spans="1:20">
      <c r="A115" s="4">
        <v>1891</v>
      </c>
      <c r="B115" s="56">
        <f>I115</f>
        <v>34.717666649846095</v>
      </c>
      <c r="I115" s="56">
        <f>(R115/XE!$F113)</f>
        <v>34.717666649846095</v>
      </c>
      <c r="J115" s="56"/>
      <c r="R115" s="56">
        <f>'Cortes Conde et al'!L31</f>
        <v>172</v>
      </c>
      <c r="S115" s="56"/>
    </row>
    <row r="116" spans="1:20">
      <c r="A116" s="4">
        <v>1892</v>
      </c>
      <c r="B116" s="56">
        <f t="shared" ref="B116:B137" si="6">K116</f>
        <v>37.717022550389139</v>
      </c>
      <c r="I116" s="56">
        <f>(R116/XE!$F114)</f>
        <v>37.717022550389139</v>
      </c>
      <c r="J116" s="56"/>
      <c r="K116" s="56">
        <f>((T116*100)/XE!$F114)</f>
        <v>37.717022550389139</v>
      </c>
      <c r="R116" s="56">
        <f>'Cortes Conde et al'!L32</f>
        <v>189</v>
      </c>
      <c r="S116" s="56"/>
      <c r="T116" s="54">
        <v>1.89</v>
      </c>
    </row>
    <row r="117" spans="1:20">
      <c r="A117" s="4">
        <v>1893</v>
      </c>
      <c r="B117" s="56">
        <f t="shared" si="6"/>
        <v>39.173446898768795</v>
      </c>
      <c r="I117" s="56">
        <f>(R117/XE!$F115)</f>
        <v>38.775746930253376</v>
      </c>
      <c r="J117" s="56"/>
      <c r="K117" s="56">
        <f>((T117*100)/XE!$F115)</f>
        <v>39.173446898768795</v>
      </c>
      <c r="R117" s="56">
        <f>'Cortes Conde et al'!L33</f>
        <v>195</v>
      </c>
      <c r="S117" s="56"/>
      <c r="T117" s="54">
        <v>1.97</v>
      </c>
    </row>
    <row r="118" spans="1:20">
      <c r="A118" s="4">
        <v>1894</v>
      </c>
      <c r="B118" s="56">
        <f t="shared" si="6"/>
        <v>35.011670556852287</v>
      </c>
      <c r="I118" s="56">
        <f>(R118/XE!$F116)</f>
        <v>35.011670556852287</v>
      </c>
      <c r="J118" s="56"/>
      <c r="K118" s="56">
        <f>((T118*100)/XE!$F116)</f>
        <v>35.011670556852287</v>
      </c>
      <c r="R118" s="56">
        <f>'Cortes Conde et al'!L34</f>
        <v>175</v>
      </c>
      <c r="S118" s="56"/>
      <c r="T118" s="54">
        <v>1.75</v>
      </c>
    </row>
    <row r="119" spans="1:20">
      <c r="A119" s="4">
        <v>1895</v>
      </c>
      <c r="B119" s="56">
        <f t="shared" si="6"/>
        <v>63.12740348599111</v>
      </c>
      <c r="I119" s="56">
        <f>(R119/XE!$F117)</f>
        <v>63.12740348599111</v>
      </c>
      <c r="J119" s="56"/>
      <c r="K119" s="56">
        <f>((T119*100)/XE!$F117)</f>
        <v>63.12740348599111</v>
      </c>
      <c r="R119" s="56">
        <f>'Cortes Conde et al'!L35</f>
        <v>316</v>
      </c>
      <c r="S119" s="56"/>
      <c r="T119" s="54">
        <v>3.16</v>
      </c>
    </row>
    <row r="120" spans="1:20">
      <c r="A120" s="4">
        <v>1896</v>
      </c>
      <c r="B120" s="56">
        <f t="shared" si="6"/>
        <v>56.757833244822102</v>
      </c>
      <c r="I120" s="56">
        <f>(R120/XE!$F118)</f>
        <v>56.757833244822102</v>
      </c>
      <c r="J120" s="56"/>
      <c r="K120" s="56">
        <f>((T120*100)/XE!$F118)</f>
        <v>56.757833244822102</v>
      </c>
      <c r="R120" s="56">
        <f>'Cortes Conde et al'!L36</f>
        <v>285</v>
      </c>
      <c r="S120" s="56"/>
      <c r="T120" s="54">
        <v>2.85</v>
      </c>
    </row>
    <row r="121" spans="1:20">
      <c r="A121" s="4">
        <v>1897</v>
      </c>
      <c r="B121" s="56">
        <f t="shared" si="6"/>
        <v>58.943759477813671</v>
      </c>
      <c r="I121" s="56">
        <f>(R121/XE!$F119)</f>
        <v>58.943759477813671</v>
      </c>
      <c r="J121" s="56"/>
      <c r="K121" s="56">
        <f>((T121*100)/XE!$F119)</f>
        <v>58.943759477813671</v>
      </c>
      <c r="R121" s="56">
        <f>'Cortes Conde et al'!L37</f>
        <v>298</v>
      </c>
      <c r="S121" s="56"/>
      <c r="T121" s="54">
        <v>2.98</v>
      </c>
    </row>
    <row r="122" spans="1:20">
      <c r="A122" s="4">
        <v>1898</v>
      </c>
      <c r="B122" s="56">
        <f t="shared" si="6"/>
        <v>57.77755640782987</v>
      </c>
      <c r="I122" s="56">
        <f>(R122/XE!$F120)</f>
        <v>57.77755640782987</v>
      </c>
      <c r="J122" s="56"/>
      <c r="K122" s="56">
        <f>((T122*100)/XE!$F120)</f>
        <v>57.77755640782987</v>
      </c>
      <c r="R122" s="56">
        <f>'Cortes Conde et al'!L38</f>
        <v>290</v>
      </c>
      <c r="S122" s="56"/>
      <c r="T122" s="54">
        <v>2.9</v>
      </c>
    </row>
    <row r="123" spans="1:20">
      <c r="A123" s="4">
        <v>1899</v>
      </c>
      <c r="B123" s="56">
        <f t="shared" si="6"/>
        <v>66.168337076391907</v>
      </c>
      <c r="I123" s="56">
        <f>(R123/XE!$F121)</f>
        <v>66.168337076391907</v>
      </c>
      <c r="J123" s="56"/>
      <c r="K123" s="56">
        <f>((T123*100)/XE!$F121)</f>
        <v>66.168337076391907</v>
      </c>
      <c r="R123" s="56">
        <f>'Cortes Conde et al'!L39</f>
        <v>329</v>
      </c>
      <c r="S123" s="56"/>
      <c r="T123" s="54">
        <v>3.29</v>
      </c>
    </row>
    <row r="124" spans="1:20">
      <c r="A124" s="4">
        <v>1900</v>
      </c>
      <c r="B124" s="56">
        <f t="shared" si="6"/>
        <v>66.345817582307802</v>
      </c>
      <c r="I124" s="56">
        <f>(R124/XE!$F122)</f>
        <v>66.345817582307802</v>
      </c>
      <c r="J124" s="56"/>
      <c r="K124" s="56">
        <f>((T124*100)/XE!$F122)</f>
        <v>66.345817582307802</v>
      </c>
      <c r="R124" s="56">
        <f>'Cortes Conde et al'!L40</f>
        <v>332</v>
      </c>
      <c r="S124" s="56"/>
      <c r="T124" s="54">
        <v>3.32</v>
      </c>
    </row>
    <row r="125" spans="1:20">
      <c r="A125" s="4">
        <v>1901</v>
      </c>
      <c r="B125" s="56">
        <f t="shared" si="6"/>
        <v>66.124534540050433</v>
      </c>
      <c r="I125" s="56">
        <f>(R125/XE!$F123)</f>
        <v>66.124534540050433</v>
      </c>
      <c r="J125" s="56"/>
      <c r="K125" s="56">
        <f>((T125*100)/XE!$F123)</f>
        <v>66.124534540050433</v>
      </c>
      <c r="R125" s="56">
        <f>'Cortes Conde et al'!L41</f>
        <v>330</v>
      </c>
      <c r="S125" s="56"/>
      <c r="T125" s="54">
        <v>3.3</v>
      </c>
    </row>
    <row r="126" spans="1:20">
      <c r="A126" s="4">
        <v>1902</v>
      </c>
      <c r="B126" s="56">
        <f t="shared" si="6"/>
        <v>66.058351543863736</v>
      </c>
      <c r="I126" s="56">
        <f>(R126/XE!$F124)</f>
        <v>66.058351543863736</v>
      </c>
      <c r="J126" s="56"/>
      <c r="K126" s="56">
        <f>((T126*100)/XE!$F124)</f>
        <v>66.058351543863736</v>
      </c>
      <c r="R126" s="56">
        <f>'Cortes Conde et al'!L42</f>
        <v>330</v>
      </c>
      <c r="S126" s="56"/>
      <c r="T126" s="54">
        <v>3.3</v>
      </c>
    </row>
    <row r="127" spans="1:20">
      <c r="A127" s="4">
        <v>1903</v>
      </c>
      <c r="B127" s="56">
        <f t="shared" si="6"/>
        <v>67.705804550553324</v>
      </c>
      <c r="I127" s="56">
        <f>(R127/XE!$F125)</f>
        <v>67.705804550553324</v>
      </c>
      <c r="J127" s="56"/>
      <c r="K127" s="56">
        <f>((T127*100)/XE!$F125)</f>
        <v>67.705804550553324</v>
      </c>
      <c r="R127" s="56">
        <f>'Cortes Conde et al'!L43</f>
        <v>337</v>
      </c>
      <c r="S127" s="56"/>
      <c r="T127" s="54">
        <v>3.37</v>
      </c>
    </row>
    <row r="128" spans="1:20">
      <c r="A128" s="4">
        <v>1904</v>
      </c>
      <c r="B128" s="56">
        <f t="shared" si="6"/>
        <v>71.814245833402978</v>
      </c>
      <c r="I128" s="56">
        <f>(R128/XE!$F126)</f>
        <v>71.814245833402978</v>
      </c>
      <c r="J128" s="56"/>
      <c r="K128" s="56">
        <f>((T128*100)/XE!$F126)</f>
        <v>71.814245833402978</v>
      </c>
      <c r="R128" s="56">
        <f>'Cortes Conde et al'!L44</f>
        <v>358</v>
      </c>
      <c r="S128" s="56"/>
      <c r="T128" s="54">
        <v>3.58</v>
      </c>
    </row>
    <row r="129" spans="1:20">
      <c r="A129" s="4">
        <v>1905</v>
      </c>
      <c r="B129" s="56">
        <f t="shared" si="6"/>
        <v>81.128570711381101</v>
      </c>
      <c r="I129" s="56">
        <f>(R129/XE!$F127)</f>
        <v>81.128570711381101</v>
      </c>
      <c r="J129" s="56"/>
      <c r="K129" s="56">
        <f>((T129*100)/XE!$F127)</f>
        <v>81.128570711381101</v>
      </c>
      <c r="R129" s="56">
        <f>'Cortes Conde et al'!L45</f>
        <v>404</v>
      </c>
      <c r="S129" s="56"/>
      <c r="T129" s="54">
        <v>4.04</v>
      </c>
    </row>
    <row r="130" spans="1:20">
      <c r="A130" s="4">
        <v>1906</v>
      </c>
      <c r="B130" s="56">
        <f t="shared" si="6"/>
        <v>92.005478902883112</v>
      </c>
      <c r="I130" s="56">
        <f>(R130/XE!$F128)</f>
        <v>92.005478902883112</v>
      </c>
      <c r="J130" s="56"/>
      <c r="K130" s="56">
        <f>((T130*100)/XE!$F128)</f>
        <v>92.005478902883112</v>
      </c>
      <c r="R130" s="56">
        <f>'Cortes Conde et al'!L46</f>
        <v>459</v>
      </c>
      <c r="S130" s="56"/>
      <c r="T130" s="54">
        <v>4.59</v>
      </c>
    </row>
    <row r="131" spans="1:20">
      <c r="A131" s="4">
        <v>1907</v>
      </c>
      <c r="B131" s="56">
        <f t="shared" si="6"/>
        <v>82.351756770361419</v>
      </c>
      <c r="I131" s="56">
        <f>(R131/XE!$F129)</f>
        <v>79.314563441111815</v>
      </c>
      <c r="J131" s="56"/>
      <c r="K131" s="56">
        <f>((T131*100)/XE!$F129)</f>
        <v>82.351756770361419</v>
      </c>
      <c r="R131" s="56">
        <f>'Cortes Conde et al'!L47</f>
        <v>393.91577933028185</v>
      </c>
      <c r="S131" s="56"/>
      <c r="T131" s="54">
        <v>4.09</v>
      </c>
    </row>
    <row r="132" spans="1:20">
      <c r="A132" s="4">
        <v>1908</v>
      </c>
      <c r="B132" s="56">
        <f t="shared" si="6"/>
        <v>57.80327484988878</v>
      </c>
      <c r="I132" s="56">
        <f>(R132/XE!$F130)</f>
        <v>57.726698092984762</v>
      </c>
      <c r="J132" s="56"/>
      <c r="K132" s="56">
        <f>((T132*100)/XE!$F130)</f>
        <v>57.80327484988878</v>
      </c>
      <c r="R132" s="56">
        <f>'Cortes Conde et al'!L48</f>
        <v>287.61846269012216</v>
      </c>
      <c r="S132" s="56"/>
      <c r="T132" s="54">
        <v>2.88</v>
      </c>
    </row>
    <row r="133" spans="1:20">
      <c r="A133" s="4">
        <v>1909</v>
      </c>
      <c r="B133" s="56">
        <f t="shared" si="6"/>
        <v>76.644709413824728</v>
      </c>
      <c r="I133" s="56">
        <f>(R133/XE!$F131)</f>
        <v>81.253596880937707</v>
      </c>
      <c r="J133" s="56"/>
      <c r="K133" s="56">
        <f>((T133*100)/XE!$F131)</f>
        <v>76.644709413824728</v>
      </c>
      <c r="R133" s="56">
        <f>'Cortes Conde et al'!L49</f>
        <v>406.03099474711917</v>
      </c>
      <c r="S133" s="56"/>
      <c r="T133" s="54">
        <v>3.83</v>
      </c>
    </row>
    <row r="134" spans="1:20">
      <c r="A134" s="4">
        <v>1910</v>
      </c>
      <c r="B134" s="56">
        <f t="shared" si="6"/>
        <v>92.467809727133229</v>
      </c>
      <c r="I134" s="56"/>
      <c r="J134" s="56"/>
      <c r="K134" s="56">
        <f>((T134*100)/XE!$F132)</f>
        <v>92.467809727133229</v>
      </c>
      <c r="R134" s="56"/>
      <c r="S134" s="56"/>
      <c r="T134" s="54">
        <v>4.62</v>
      </c>
    </row>
    <row r="135" spans="1:20">
      <c r="A135" s="4">
        <v>1911</v>
      </c>
      <c r="B135" s="56">
        <f t="shared" si="6"/>
        <v>89.444722361180595</v>
      </c>
      <c r="I135" s="56"/>
      <c r="J135" s="56"/>
      <c r="K135" s="56">
        <f>((T135*100)/XE!$F133)</f>
        <v>89.444722361180595</v>
      </c>
      <c r="R135" s="56"/>
      <c r="S135" s="56"/>
      <c r="T135" s="54">
        <v>4.47</v>
      </c>
    </row>
    <row r="136" spans="1:20">
      <c r="A136" s="4">
        <v>1912</v>
      </c>
      <c r="B136" s="56">
        <f t="shared" si="6"/>
        <v>109.16205414625173</v>
      </c>
      <c r="I136" s="56"/>
      <c r="J136" s="56"/>
      <c r="K136" s="56">
        <f>((T136*100)/XE!$F134)</f>
        <v>109.16205414625173</v>
      </c>
      <c r="R136" s="56"/>
      <c r="S136" s="56"/>
      <c r="T136" s="54">
        <v>5.44</v>
      </c>
    </row>
    <row r="137" spans="1:20">
      <c r="A137" s="4">
        <v>1913</v>
      </c>
      <c r="B137" s="56">
        <f t="shared" si="6"/>
        <v>130.20798501972857</v>
      </c>
      <c r="I137" s="56"/>
      <c r="J137" s="56"/>
      <c r="K137" s="56">
        <f>((T137*100)/XE!$F135)</f>
        <v>130.20798501972857</v>
      </c>
      <c r="R137" s="56"/>
      <c r="S137" s="56"/>
      <c r="T137" s="54">
        <v>6.49</v>
      </c>
    </row>
    <row r="138" spans="1:20">
      <c r="R138" s="41"/>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Z160"/>
  <sheetViews>
    <sheetView workbookViewId="0">
      <pane xSplit="1" ySplit="1" topLeftCell="B2" activePane="bottomRight" state="frozen"/>
      <selection pane="topRight" activeCell="B1" sqref="B1"/>
      <selection pane="bottomLeft" activeCell="A3" sqref="A3"/>
      <selection pane="bottomRight" activeCell="B1" sqref="B1"/>
    </sheetView>
  </sheetViews>
  <sheetFormatPr baseColWidth="10" defaultRowHeight="15"/>
  <cols>
    <col min="1" max="3" width="10.7109375" style="4"/>
    <col min="4" max="4" width="11.140625" bestFit="1" customWidth="1"/>
  </cols>
  <sheetData>
    <row r="1" spans="1:52" ht="45">
      <c r="B1" s="71" t="s">
        <v>226</v>
      </c>
      <c r="C1" s="71" t="s">
        <v>227</v>
      </c>
      <c r="D1" s="71" t="s">
        <v>228</v>
      </c>
      <c r="E1" s="71" t="s">
        <v>387</v>
      </c>
      <c r="F1" s="71" t="s">
        <v>388</v>
      </c>
      <c r="AL1" s="4"/>
      <c r="AM1" s="4"/>
      <c r="AN1" s="4"/>
      <c r="AO1" s="4"/>
      <c r="AP1" s="4"/>
      <c r="AQ1" s="4"/>
      <c r="AR1" s="4"/>
      <c r="AS1" s="4"/>
      <c r="AT1" s="4"/>
      <c r="AU1" s="4"/>
      <c r="AV1" s="4"/>
      <c r="AW1" s="4"/>
      <c r="AX1" s="4"/>
      <c r="AY1" s="4"/>
      <c r="AZ1" s="4"/>
    </row>
    <row r="2" spans="1:52">
      <c r="A2" s="4">
        <v>1780</v>
      </c>
      <c r="B2" s="72">
        <v>24.432838110999999</v>
      </c>
      <c r="C2" s="72">
        <v>107.31173069750093</v>
      </c>
      <c r="D2" s="73">
        <f>C2/B2</f>
        <v>4.3921107408798212</v>
      </c>
      <c r="AL2" s="4"/>
      <c r="AM2" s="4">
        <v>1780</v>
      </c>
      <c r="AN2" s="4"/>
      <c r="AO2" s="4"/>
      <c r="AP2" s="4"/>
      <c r="AQ2" s="4"/>
      <c r="AR2" s="4"/>
      <c r="AS2" s="4"/>
      <c r="AT2" s="4"/>
      <c r="AU2" s="4"/>
      <c r="AV2" s="4"/>
      <c r="AW2" s="4"/>
      <c r="AX2" s="4"/>
      <c r="AY2" s="4"/>
      <c r="AZ2" s="4"/>
    </row>
    <row r="3" spans="1:52">
      <c r="A3" s="4">
        <v>1781</v>
      </c>
      <c r="B3" s="72">
        <v>24.432838110999999</v>
      </c>
      <c r="C3" s="72">
        <v>101.69768469423828</v>
      </c>
      <c r="D3" s="73">
        <f t="shared" ref="D3:D44" si="0">C3/B3</f>
        <v>4.1623361245312136</v>
      </c>
      <c r="AL3" s="4"/>
      <c r="AM3" s="4">
        <v>1781</v>
      </c>
      <c r="AN3" s="4"/>
      <c r="AO3" s="4"/>
      <c r="AP3" s="4"/>
      <c r="AQ3" s="4"/>
      <c r="AR3" s="4"/>
      <c r="AS3" s="4"/>
      <c r="AT3" s="4"/>
      <c r="AU3" s="4"/>
      <c r="AV3" s="4"/>
      <c r="AW3" s="4"/>
      <c r="AX3" s="4"/>
      <c r="AY3" s="4"/>
      <c r="AZ3" s="4"/>
    </row>
    <row r="4" spans="1:52">
      <c r="A4" s="4">
        <v>1782</v>
      </c>
      <c r="B4" s="72">
        <v>24.432838110999999</v>
      </c>
      <c r="C4" s="72">
        <v>98.663494513031537</v>
      </c>
      <c r="D4" s="73">
        <f t="shared" si="0"/>
        <v>4.0381511990050747</v>
      </c>
      <c r="AL4" s="4"/>
      <c r="AM4" s="4">
        <v>1782</v>
      </c>
      <c r="AN4" s="4"/>
      <c r="AO4" s="4"/>
      <c r="AP4" s="4"/>
      <c r="AQ4" s="4"/>
      <c r="AR4" s="4"/>
      <c r="AS4" s="4"/>
      <c r="AT4" s="4"/>
      <c r="AU4" s="4"/>
      <c r="AV4" s="4"/>
      <c r="AW4" s="4"/>
      <c r="AX4" s="4"/>
      <c r="AY4" s="4"/>
      <c r="AZ4" s="4"/>
    </row>
    <row r="5" spans="1:52">
      <c r="A5" s="4">
        <v>1783</v>
      </c>
      <c r="B5" s="72">
        <v>24.432838110999999</v>
      </c>
      <c r="C5" s="72">
        <v>101.94994684620838</v>
      </c>
      <c r="D5" s="73">
        <f t="shared" si="0"/>
        <v>4.1726608420619424</v>
      </c>
      <c r="AL5" s="4"/>
      <c r="AM5" s="4">
        <v>1783</v>
      </c>
      <c r="AN5" s="4"/>
      <c r="AO5" s="4"/>
      <c r="AP5" s="4"/>
      <c r="AQ5" s="4"/>
      <c r="AR5" s="4"/>
      <c r="AS5" s="4"/>
      <c r="AT5" s="4"/>
      <c r="AU5" s="4"/>
      <c r="AV5" s="4"/>
      <c r="AW5" s="4"/>
      <c r="AX5" s="4"/>
      <c r="AY5" s="4"/>
      <c r="AZ5" s="4"/>
    </row>
    <row r="6" spans="1:52">
      <c r="A6" s="4">
        <v>1784</v>
      </c>
      <c r="B6" s="72">
        <v>24.432838110999999</v>
      </c>
      <c r="C6" s="72">
        <v>108.28105005645466</v>
      </c>
      <c r="D6" s="73">
        <f t="shared" si="0"/>
        <v>4.4317835514861876</v>
      </c>
      <c r="AL6" s="4"/>
      <c r="AM6" s="4">
        <v>1784</v>
      </c>
      <c r="AN6" s="4"/>
      <c r="AO6" s="4"/>
      <c r="AP6" s="4"/>
      <c r="AQ6" s="4"/>
      <c r="AR6" s="4"/>
      <c r="AS6" s="4"/>
      <c r="AT6" s="4"/>
      <c r="AU6" s="4"/>
      <c r="AV6" s="4"/>
      <c r="AW6" s="4"/>
      <c r="AX6" s="4"/>
      <c r="AY6" s="4"/>
      <c r="AZ6" s="4"/>
    </row>
    <row r="7" spans="1:52">
      <c r="A7" s="4">
        <v>1785</v>
      </c>
      <c r="B7" s="72">
        <v>24.245011868999999</v>
      </c>
      <c r="C7" s="72">
        <v>111.34007352941177</v>
      </c>
      <c r="D7" s="73">
        <f t="shared" si="0"/>
        <v>4.5922878541368215</v>
      </c>
      <c r="AL7" s="4"/>
      <c r="AM7" s="4">
        <v>1785</v>
      </c>
      <c r="AN7" s="4"/>
      <c r="AO7" s="4"/>
      <c r="AP7" s="4"/>
      <c r="AQ7" s="4"/>
      <c r="AR7" s="4"/>
      <c r="AS7" s="4"/>
      <c r="AT7" s="4"/>
      <c r="AU7" s="4"/>
      <c r="AV7" s="4"/>
      <c r="AW7" s="4"/>
      <c r="AX7" s="4"/>
      <c r="AY7" s="4"/>
      <c r="AZ7" s="4"/>
    </row>
    <row r="8" spans="1:52">
      <c r="A8" s="4">
        <v>1786</v>
      </c>
      <c r="B8" s="72">
        <v>24.245011868999999</v>
      </c>
      <c r="C8" s="72">
        <v>109.26804025826056</v>
      </c>
      <c r="D8" s="73">
        <f t="shared" si="0"/>
        <v>4.5068256039079175</v>
      </c>
      <c r="AL8" s="4"/>
      <c r="AM8" s="4">
        <v>1786</v>
      </c>
      <c r="AN8" s="4"/>
      <c r="AO8" s="4"/>
      <c r="AP8" s="4"/>
      <c r="AQ8" s="4"/>
      <c r="AR8" s="4"/>
      <c r="AS8" s="4"/>
      <c r="AT8" s="4"/>
      <c r="AU8" s="4"/>
      <c r="AV8" s="4"/>
      <c r="AW8" s="4"/>
      <c r="AX8" s="4"/>
      <c r="AY8" s="4"/>
      <c r="AZ8" s="4"/>
    </row>
    <row r="9" spans="1:52">
      <c r="A9" s="4">
        <v>1787</v>
      </c>
      <c r="B9" s="72">
        <v>24.245011868999999</v>
      </c>
      <c r="C9" s="72">
        <v>108.81344553706505</v>
      </c>
      <c r="D9" s="73">
        <f t="shared" si="0"/>
        <v>4.4880755730293291</v>
      </c>
      <c r="AL9" s="4"/>
      <c r="AM9" s="4">
        <v>1787</v>
      </c>
      <c r="AN9" s="4"/>
      <c r="AO9" s="4"/>
      <c r="AP9" s="4"/>
      <c r="AQ9" s="4"/>
      <c r="AR9" s="4"/>
      <c r="AS9" s="4"/>
      <c r="AT9" s="4"/>
      <c r="AU9" s="4"/>
      <c r="AV9" s="4"/>
      <c r="AW9" s="4"/>
      <c r="AX9" s="4"/>
      <c r="AY9" s="4"/>
      <c r="AZ9" s="4"/>
    </row>
    <row r="10" spans="1:52">
      <c r="A10" s="4">
        <v>1788</v>
      </c>
      <c r="B10" s="72">
        <v>24.432838110999999</v>
      </c>
      <c r="C10" s="72">
        <v>108.24031226486082</v>
      </c>
      <c r="D10" s="73">
        <f t="shared" si="0"/>
        <v>4.4301162138069232</v>
      </c>
      <c r="AL10" s="4"/>
      <c r="AM10" s="4">
        <v>1788</v>
      </c>
      <c r="AN10" s="4"/>
      <c r="AO10" s="4"/>
      <c r="AP10" s="4"/>
      <c r="AQ10" s="4"/>
      <c r="AR10" s="4"/>
      <c r="AS10" s="4"/>
      <c r="AT10" s="4"/>
      <c r="AU10" s="4"/>
      <c r="AV10" s="4"/>
      <c r="AW10" s="4"/>
      <c r="AX10" s="4"/>
      <c r="AY10" s="4"/>
      <c r="AZ10" s="4"/>
    </row>
    <row r="11" spans="1:52">
      <c r="A11" s="4">
        <v>1789</v>
      </c>
      <c r="B11" s="72">
        <v>24.432838110999999</v>
      </c>
      <c r="C11" s="72">
        <v>109.39268060836504</v>
      </c>
      <c r="D11" s="73">
        <f t="shared" si="0"/>
        <v>4.4772809491630428</v>
      </c>
      <c r="AL11" s="4"/>
      <c r="AM11" s="4">
        <v>1789</v>
      </c>
      <c r="AN11" s="4"/>
      <c r="AO11" s="4"/>
      <c r="AP11" s="4"/>
      <c r="AQ11" s="4"/>
      <c r="AR11" s="4"/>
      <c r="AS11" s="4"/>
      <c r="AT11" s="4"/>
      <c r="AU11" s="4"/>
      <c r="AV11" s="4"/>
      <c r="AW11" s="4"/>
      <c r="AX11" s="4"/>
      <c r="AY11" s="4"/>
      <c r="AZ11" s="4"/>
    </row>
    <row r="12" spans="1:52">
      <c r="A12" s="4">
        <v>1790</v>
      </c>
      <c r="B12" s="72">
        <v>24.432838110999999</v>
      </c>
      <c r="C12" s="72">
        <v>109.89409854851034</v>
      </c>
      <c r="D12" s="73">
        <f t="shared" si="0"/>
        <v>4.4978032453394974</v>
      </c>
      <c r="AL12" s="4"/>
      <c r="AM12" s="4">
        <v>1790</v>
      </c>
      <c r="AN12" s="4"/>
      <c r="AO12" s="4"/>
      <c r="AP12" s="4"/>
      <c r="AQ12" s="4"/>
      <c r="AR12" s="4"/>
      <c r="AS12" s="4"/>
      <c r="AT12" s="4"/>
      <c r="AU12" s="4"/>
      <c r="AV12" s="4"/>
      <c r="AW12" s="4"/>
      <c r="AX12" s="4"/>
      <c r="AY12" s="4"/>
      <c r="AZ12" s="4"/>
    </row>
    <row r="13" spans="1:52">
      <c r="A13" s="4">
        <v>1791</v>
      </c>
      <c r="B13" s="72">
        <v>24.432838110999999</v>
      </c>
      <c r="C13" s="72">
        <v>109.6428163109756</v>
      </c>
      <c r="D13" s="73">
        <f t="shared" si="0"/>
        <v>4.4875186342602129</v>
      </c>
      <c r="AL13" s="4"/>
      <c r="AM13" s="4">
        <v>1791</v>
      </c>
      <c r="AN13" s="4"/>
      <c r="AO13" s="4"/>
      <c r="AP13" s="4"/>
      <c r="AQ13" s="4"/>
      <c r="AR13" s="4"/>
      <c r="AS13" s="4"/>
      <c r="AT13" s="4"/>
      <c r="AU13" s="4"/>
      <c r="AV13" s="4"/>
      <c r="AW13" s="4"/>
      <c r="AX13" s="4"/>
      <c r="AY13" s="4"/>
      <c r="AZ13" s="4"/>
    </row>
    <row r="14" spans="1:52">
      <c r="A14" s="4">
        <v>1792</v>
      </c>
      <c r="B14" s="72">
        <v>24.432838110999999</v>
      </c>
      <c r="C14" s="72">
        <v>107.79421131509929</v>
      </c>
      <c r="D14" s="73">
        <f t="shared" si="0"/>
        <v>4.411857960396703</v>
      </c>
      <c r="AL14" s="4"/>
      <c r="AM14" s="4">
        <v>1792</v>
      </c>
      <c r="AN14" s="4"/>
      <c r="AO14" s="4"/>
      <c r="AP14" s="4"/>
      <c r="AQ14" s="4"/>
      <c r="AR14" s="4"/>
      <c r="AS14" s="4"/>
      <c r="AT14" s="4"/>
      <c r="AU14" s="4"/>
      <c r="AV14" s="4"/>
      <c r="AW14" s="4"/>
      <c r="AX14" s="4"/>
      <c r="AY14" s="4"/>
      <c r="AZ14" s="4"/>
    </row>
    <row r="15" spans="1:52">
      <c r="A15" s="4">
        <v>1793</v>
      </c>
      <c r="B15" s="72">
        <v>24.432838110999999</v>
      </c>
      <c r="C15" s="72">
        <v>110.95362514462013</v>
      </c>
      <c r="D15" s="73">
        <f t="shared" si="0"/>
        <v>4.5411681050130355</v>
      </c>
      <c r="AL15" s="4"/>
      <c r="AM15" s="4">
        <v>1793</v>
      </c>
      <c r="AN15" s="4"/>
      <c r="AO15" s="4"/>
      <c r="AP15" s="4"/>
      <c r="AQ15" s="4"/>
      <c r="AR15" s="4"/>
      <c r="AS15" s="4"/>
      <c r="AT15" s="4"/>
      <c r="AU15" s="4"/>
      <c r="AV15" s="4"/>
      <c r="AW15" s="4"/>
      <c r="AX15" s="4"/>
      <c r="AY15" s="4"/>
      <c r="AZ15" s="4"/>
    </row>
    <row r="16" spans="1:52">
      <c r="A16" s="4">
        <v>1794</v>
      </c>
      <c r="B16" s="72">
        <v>24.432838110999999</v>
      </c>
      <c r="C16" s="72">
        <v>112.55976134585291</v>
      </c>
      <c r="D16" s="73">
        <f t="shared" si="0"/>
        <v>4.6069048890057909</v>
      </c>
      <c r="AL16" s="4"/>
      <c r="AM16" s="4">
        <v>1794</v>
      </c>
      <c r="AN16" s="4"/>
      <c r="AO16" s="4"/>
      <c r="AP16" s="4"/>
      <c r="AQ16" s="4"/>
      <c r="AR16" s="4"/>
      <c r="AS16" s="4"/>
      <c r="AT16" s="4"/>
      <c r="AU16" s="4"/>
      <c r="AV16" s="4"/>
      <c r="AW16" s="4"/>
      <c r="AX16" s="4"/>
      <c r="AY16" s="4"/>
      <c r="AZ16" s="4"/>
    </row>
    <row r="17" spans="1:52">
      <c r="A17" s="4">
        <v>1795</v>
      </c>
      <c r="B17" s="72">
        <v>24.432838110999999</v>
      </c>
      <c r="C17" s="72">
        <v>109.6428163109756</v>
      </c>
      <c r="D17" s="73">
        <f t="shared" si="0"/>
        <v>4.4875186342602129</v>
      </c>
      <c r="AL17" s="4"/>
      <c r="AM17" s="4">
        <v>1795</v>
      </c>
      <c r="AN17" s="4"/>
      <c r="AO17" s="4"/>
      <c r="AP17" s="4"/>
      <c r="AQ17" s="4"/>
      <c r="AR17" s="4"/>
      <c r="AS17" s="4"/>
      <c r="AT17" s="4"/>
      <c r="AU17" s="4"/>
      <c r="AV17" s="4"/>
      <c r="AW17" s="4"/>
      <c r="AX17" s="4"/>
      <c r="AY17" s="4"/>
      <c r="AZ17" s="4"/>
    </row>
    <row r="18" spans="1:52">
      <c r="A18" s="4">
        <v>1796</v>
      </c>
      <c r="B18" s="72">
        <v>24.432838110999999</v>
      </c>
      <c r="C18" s="72">
        <v>108.56707547169812</v>
      </c>
      <c r="D18" s="73">
        <f t="shared" si="0"/>
        <v>4.4434901495467169</v>
      </c>
      <c r="AL18" s="4"/>
      <c r="AM18" s="4">
        <v>1796</v>
      </c>
      <c r="AN18" s="4"/>
      <c r="AO18" s="4"/>
      <c r="AP18" s="4"/>
      <c r="AQ18" s="4"/>
      <c r="AR18" s="4"/>
      <c r="AS18" s="4"/>
      <c r="AT18" s="4"/>
      <c r="AU18" s="4"/>
      <c r="AV18" s="4"/>
      <c r="AW18" s="4"/>
      <c r="AX18" s="4"/>
      <c r="AY18" s="4"/>
      <c r="AZ18" s="4"/>
    </row>
    <row r="19" spans="1:52">
      <c r="A19" s="4">
        <v>1797</v>
      </c>
      <c r="B19" s="72">
        <v>24.432838110999999</v>
      </c>
      <c r="C19" s="72">
        <v>109.30955547112464</v>
      </c>
      <c r="D19" s="73">
        <f t="shared" si="0"/>
        <v>4.4738787599919458</v>
      </c>
      <c r="AL19" s="4"/>
      <c r="AM19" s="4">
        <v>1797</v>
      </c>
      <c r="AN19" s="4"/>
      <c r="AO19" s="4"/>
      <c r="AP19" s="4"/>
      <c r="AQ19" s="4"/>
      <c r="AR19" s="4"/>
      <c r="AS19" s="4"/>
      <c r="AT19" s="4"/>
      <c r="AU19" s="4"/>
      <c r="AV19" s="4"/>
      <c r="AW19" s="4"/>
      <c r="AX19" s="4"/>
      <c r="AY19" s="4"/>
      <c r="AZ19" s="4"/>
    </row>
    <row r="20" spans="1:52">
      <c r="A20" s="4">
        <v>1798</v>
      </c>
      <c r="B20" s="72">
        <v>24.432838110999999</v>
      </c>
      <c r="C20" s="72">
        <v>113.7165019762846</v>
      </c>
      <c r="D20" s="73">
        <f t="shared" si="0"/>
        <v>4.6542485756121748</v>
      </c>
      <c r="AL20" s="4"/>
      <c r="AM20" s="4">
        <v>1798</v>
      </c>
      <c r="AN20" s="4"/>
      <c r="AO20" s="4"/>
      <c r="AP20" s="4"/>
      <c r="AQ20" s="4"/>
      <c r="AR20" s="4"/>
      <c r="AS20" s="4"/>
      <c r="AT20" s="4"/>
      <c r="AU20" s="4"/>
      <c r="AV20" s="4"/>
      <c r="AW20" s="4"/>
      <c r="AX20" s="4"/>
      <c r="AY20" s="4"/>
      <c r="AZ20" s="4"/>
    </row>
    <row r="21" spans="1:52">
      <c r="A21" s="4">
        <v>1799</v>
      </c>
      <c r="B21" s="72">
        <v>24.432838110999999</v>
      </c>
      <c r="C21" s="72">
        <v>105.92884756995581</v>
      </c>
      <c r="D21" s="73">
        <f t="shared" si="0"/>
        <v>4.3355113756622972</v>
      </c>
      <c r="AL21" s="4"/>
      <c r="AM21" s="4">
        <v>1799</v>
      </c>
      <c r="AN21" s="4"/>
      <c r="AO21" s="4"/>
      <c r="AP21" s="4"/>
      <c r="AQ21" s="4"/>
      <c r="AR21" s="4"/>
      <c r="AS21" s="4"/>
      <c r="AT21" s="4"/>
      <c r="AU21" s="4"/>
      <c r="AV21" s="4"/>
      <c r="AW21" s="4"/>
      <c r="AX21" s="4"/>
      <c r="AY21" s="4"/>
      <c r="AZ21" s="4"/>
    </row>
    <row r="22" spans="1:52">
      <c r="A22" s="4">
        <v>1800</v>
      </c>
      <c r="B22" s="72">
        <v>24.432838110999999</v>
      </c>
      <c r="C22" s="72">
        <v>100.50251256281406</v>
      </c>
      <c r="D22" s="73">
        <f t="shared" si="0"/>
        <v>4.1134194933156971</v>
      </c>
      <c r="AL22" s="4"/>
      <c r="AM22" s="4">
        <v>1800</v>
      </c>
      <c r="AN22" s="4"/>
      <c r="AO22" s="4"/>
      <c r="AP22" s="4"/>
      <c r="AQ22" s="4"/>
      <c r="AR22" s="4"/>
      <c r="AS22" s="4"/>
      <c r="AT22" s="4"/>
      <c r="AU22" s="4"/>
      <c r="AV22" s="4"/>
      <c r="AW22" s="4"/>
      <c r="AX22" s="4"/>
      <c r="AY22" s="4"/>
      <c r="AZ22" s="4"/>
    </row>
    <row r="23" spans="1:52">
      <c r="A23" s="4">
        <v>1801</v>
      </c>
      <c r="B23" s="72">
        <v>24.432838110999999</v>
      </c>
      <c r="C23" s="72">
        <v>97.131245779878469</v>
      </c>
      <c r="D23" s="73">
        <f t="shared" si="0"/>
        <v>3.9754385200198521</v>
      </c>
      <c r="AL23" s="4"/>
      <c r="AM23" s="4">
        <v>1801</v>
      </c>
      <c r="AN23" s="4"/>
      <c r="AO23" s="4"/>
      <c r="AP23" s="4"/>
      <c r="AQ23" s="4"/>
      <c r="AR23" s="4"/>
      <c r="AS23" s="4"/>
      <c r="AT23" s="4"/>
      <c r="AU23" s="4"/>
      <c r="AV23" s="4"/>
      <c r="AW23" s="4"/>
      <c r="AX23" s="4"/>
      <c r="AY23" s="4"/>
      <c r="AZ23" s="4"/>
    </row>
    <row r="24" spans="1:52">
      <c r="A24" s="4">
        <v>1802</v>
      </c>
      <c r="B24" s="72">
        <v>24.432838110999999</v>
      </c>
      <c r="C24" s="72">
        <v>102.02225177304967</v>
      </c>
      <c r="D24" s="73">
        <f t="shared" si="0"/>
        <v>4.1756201759924831</v>
      </c>
      <c r="AL24" s="4"/>
      <c r="AM24" s="4">
        <v>1802</v>
      </c>
      <c r="AN24" s="4"/>
      <c r="AO24" s="4"/>
      <c r="AP24" s="4"/>
      <c r="AQ24" s="4"/>
      <c r="AR24" s="4"/>
      <c r="AS24" s="4"/>
      <c r="AT24" s="4"/>
      <c r="AU24" s="4"/>
      <c r="AV24" s="4"/>
      <c r="AW24" s="4"/>
      <c r="AX24" s="4"/>
      <c r="AY24" s="4"/>
      <c r="AZ24" s="4"/>
    </row>
    <row r="25" spans="1:52">
      <c r="A25" s="4">
        <v>1803</v>
      </c>
      <c r="B25" s="72">
        <v>24.432838110999999</v>
      </c>
      <c r="C25" s="72">
        <v>102.714298464834</v>
      </c>
      <c r="D25" s="73">
        <f t="shared" si="0"/>
        <v>4.2039446255975728</v>
      </c>
      <c r="AL25" s="4"/>
      <c r="AM25" s="4">
        <v>1803</v>
      </c>
      <c r="AN25" s="4"/>
      <c r="AO25" s="4"/>
      <c r="AP25" s="4"/>
      <c r="AQ25" s="4"/>
      <c r="AR25" s="4"/>
      <c r="AS25" s="4"/>
      <c r="AT25" s="4"/>
      <c r="AU25" s="4"/>
      <c r="AV25" s="4"/>
      <c r="AW25" s="4"/>
      <c r="AX25" s="4"/>
      <c r="AY25" s="4"/>
      <c r="AZ25" s="4"/>
    </row>
    <row r="26" spans="1:52">
      <c r="A26" s="4">
        <v>1804</v>
      </c>
      <c r="B26" s="72">
        <v>24.432838110999999</v>
      </c>
      <c r="C26" s="72">
        <v>103.41579798705969</v>
      </c>
      <c r="D26" s="73">
        <f t="shared" si="0"/>
        <v>4.2326559655998572</v>
      </c>
      <c r="AL26" s="4"/>
      <c r="AM26" s="4">
        <v>1804</v>
      </c>
      <c r="AN26" s="4"/>
      <c r="AO26" s="4"/>
      <c r="AP26" s="4"/>
      <c r="AQ26" s="4"/>
      <c r="AR26" s="4"/>
      <c r="AS26" s="4"/>
      <c r="AT26" s="4"/>
      <c r="AU26" s="4"/>
      <c r="AV26" s="4"/>
      <c r="AW26" s="4"/>
      <c r="AX26" s="4"/>
      <c r="AY26" s="4"/>
      <c r="AZ26" s="4"/>
    </row>
    <row r="27" spans="1:52">
      <c r="A27" s="4">
        <v>1805</v>
      </c>
      <c r="B27" s="72">
        <v>24.432838110999999</v>
      </c>
      <c r="C27" s="72">
        <v>98.528339041095919</v>
      </c>
      <c r="D27" s="73">
        <f t="shared" si="0"/>
        <v>4.0326194850338366</v>
      </c>
      <c r="AL27" s="4"/>
      <c r="AM27" s="4">
        <v>1805</v>
      </c>
      <c r="AN27" s="4"/>
      <c r="AO27" s="4"/>
      <c r="AP27" s="4"/>
      <c r="AQ27" s="4"/>
      <c r="AR27" s="4"/>
      <c r="AS27" s="4"/>
      <c r="AT27" s="4"/>
      <c r="AU27" s="4"/>
      <c r="AV27" s="4"/>
      <c r="AW27" s="4"/>
      <c r="AX27" s="4"/>
      <c r="AY27" s="4"/>
      <c r="AZ27" s="4"/>
    </row>
    <row r="28" spans="1:52">
      <c r="A28" s="4">
        <v>1806</v>
      </c>
      <c r="B28" s="72">
        <v>24.432838110999999</v>
      </c>
      <c r="C28" s="72">
        <v>101.010101010101</v>
      </c>
      <c r="D28" s="73">
        <f t="shared" si="0"/>
        <v>4.1341943392415335</v>
      </c>
      <c r="AL28" s="4"/>
      <c r="AM28" s="4">
        <v>1806</v>
      </c>
      <c r="AN28" s="4"/>
      <c r="AO28" s="4"/>
      <c r="AP28" s="4"/>
      <c r="AQ28" s="4"/>
      <c r="AR28" s="4"/>
      <c r="AS28" s="4"/>
      <c r="AT28" s="4"/>
      <c r="AU28" s="4"/>
      <c r="AV28" s="4"/>
      <c r="AW28" s="4"/>
      <c r="AX28" s="4"/>
      <c r="AY28" s="4"/>
      <c r="AZ28" s="4"/>
    </row>
    <row r="29" spans="1:52">
      <c r="A29" s="4">
        <v>1807</v>
      </c>
      <c r="B29" s="72">
        <v>24.432838110999999</v>
      </c>
      <c r="C29" s="72">
        <v>102.49474527965799</v>
      </c>
      <c r="D29" s="73">
        <f t="shared" si="0"/>
        <v>4.1949586377979333</v>
      </c>
      <c r="AL29" s="4"/>
      <c r="AM29" s="4">
        <v>1807</v>
      </c>
      <c r="AN29" s="4"/>
      <c r="AO29" s="4"/>
      <c r="AP29" s="4"/>
      <c r="AQ29" s="4"/>
      <c r="AR29" s="4"/>
      <c r="AS29" s="4"/>
      <c r="AT29" s="4"/>
      <c r="AU29" s="4"/>
      <c r="AV29" s="4"/>
      <c r="AW29" s="4"/>
      <c r="AX29" s="4"/>
      <c r="AY29" s="4"/>
      <c r="AZ29" s="4"/>
    </row>
    <row r="30" spans="1:52">
      <c r="A30" s="4">
        <v>1808</v>
      </c>
      <c r="B30" s="72">
        <v>24.432838110999999</v>
      </c>
      <c r="C30" s="72">
        <v>101.09845760566121</v>
      </c>
      <c r="D30" s="73">
        <f t="shared" si="0"/>
        <v>4.1378106442798099</v>
      </c>
      <c r="AL30" s="4"/>
      <c r="AM30" s="4">
        <v>1808</v>
      </c>
      <c r="AN30" s="4"/>
      <c r="AO30" s="4"/>
      <c r="AP30" s="4"/>
      <c r="AQ30" s="4"/>
      <c r="AR30" s="4"/>
      <c r="AS30" s="4"/>
      <c r="AT30" s="4"/>
      <c r="AU30" s="4"/>
      <c r="AV30" s="4"/>
      <c r="AW30" s="4"/>
      <c r="AX30" s="4"/>
      <c r="AY30" s="4"/>
      <c r="AZ30" s="4"/>
    </row>
    <row r="31" spans="1:52">
      <c r="A31" s="4">
        <v>1809</v>
      </c>
      <c r="B31" s="72">
        <v>24.432838110999999</v>
      </c>
      <c r="C31" s="72">
        <v>99.739701934439395</v>
      </c>
      <c r="D31" s="73">
        <f t="shared" si="0"/>
        <v>4.0821987802364728</v>
      </c>
      <c r="AL31" s="4"/>
      <c r="AM31" s="4">
        <v>1809</v>
      </c>
      <c r="AN31" s="4"/>
      <c r="AO31" s="4"/>
      <c r="AP31" s="4"/>
      <c r="AQ31" s="4"/>
      <c r="AR31" s="4"/>
      <c r="AS31" s="4"/>
      <c r="AT31" s="4"/>
      <c r="AU31" s="4"/>
      <c r="AV31" s="4"/>
      <c r="AW31" s="4"/>
      <c r="AX31" s="4"/>
      <c r="AY31" s="4"/>
      <c r="AZ31" s="4"/>
    </row>
    <row r="32" spans="1:52">
      <c r="A32" s="4">
        <v>1810</v>
      </c>
      <c r="B32" s="72">
        <v>24.432838110999999</v>
      </c>
      <c r="C32" s="72">
        <v>98.416985052777235</v>
      </c>
      <c r="D32" s="73">
        <f t="shared" si="0"/>
        <v>4.0280619306550625</v>
      </c>
      <c r="AL32" s="4"/>
      <c r="AM32" s="4">
        <v>1810</v>
      </c>
      <c r="AN32" s="4"/>
      <c r="AO32" s="4"/>
      <c r="AP32" s="4"/>
      <c r="AQ32" s="4"/>
      <c r="AR32" s="4"/>
      <c r="AS32" s="4"/>
      <c r="AT32" s="4"/>
      <c r="AU32" s="4"/>
      <c r="AV32" s="4"/>
      <c r="AW32" s="4"/>
      <c r="AX32" s="4"/>
      <c r="AY32" s="4"/>
      <c r="AZ32" s="4"/>
    </row>
    <row r="33" spans="1:52">
      <c r="A33" s="4">
        <v>1811</v>
      </c>
      <c r="B33" s="72">
        <v>24.432838110999999</v>
      </c>
      <c r="C33" s="72">
        <v>97.131245779878469</v>
      </c>
      <c r="D33" s="73">
        <f t="shared" si="0"/>
        <v>3.9754385200198521</v>
      </c>
      <c r="AL33" s="4"/>
      <c r="AM33" s="4">
        <v>1811</v>
      </c>
      <c r="AN33" s="4"/>
      <c r="AO33" s="4"/>
      <c r="AP33" s="4"/>
      <c r="AQ33" s="4"/>
      <c r="AR33" s="4"/>
      <c r="AS33" s="4"/>
      <c r="AT33" s="4"/>
      <c r="AU33" s="4"/>
      <c r="AV33" s="4"/>
      <c r="AW33" s="4"/>
      <c r="AX33" s="4"/>
      <c r="AY33" s="4"/>
      <c r="AZ33" s="4"/>
    </row>
    <row r="34" spans="1:52">
      <c r="A34" s="4">
        <v>1812</v>
      </c>
      <c r="B34" s="72">
        <v>24.432838110999999</v>
      </c>
      <c r="C34" s="72">
        <v>89.991476384110115</v>
      </c>
      <c r="D34" s="73">
        <f t="shared" si="0"/>
        <v>3.6832182972470449</v>
      </c>
      <c r="AL34" s="4"/>
      <c r="AM34" s="4">
        <v>1812</v>
      </c>
      <c r="AN34" s="4"/>
      <c r="AO34" s="4"/>
      <c r="AP34" s="4"/>
      <c r="AQ34" s="4"/>
      <c r="AR34" s="4"/>
      <c r="AS34" s="4"/>
      <c r="AT34" s="4"/>
      <c r="AU34" s="4"/>
      <c r="AV34" s="4"/>
      <c r="AW34" s="4"/>
      <c r="AX34" s="4"/>
      <c r="AY34" s="4"/>
      <c r="AZ34" s="4"/>
    </row>
    <row r="35" spans="1:52">
      <c r="A35" s="4">
        <v>1813</v>
      </c>
      <c r="B35" s="72">
        <v>24.808761237999999</v>
      </c>
      <c r="C35" s="72">
        <v>84.469392248972397</v>
      </c>
      <c r="D35" s="73">
        <f t="shared" si="0"/>
        <v>3.4048210403826693</v>
      </c>
      <c r="AL35" s="4"/>
      <c r="AM35" s="4">
        <v>1813</v>
      </c>
      <c r="AN35" s="4"/>
      <c r="AO35" s="4"/>
      <c r="AP35" s="4"/>
      <c r="AQ35" s="4"/>
      <c r="AR35" s="4"/>
      <c r="AS35" s="4"/>
      <c r="AT35" s="4"/>
      <c r="AU35" s="4"/>
      <c r="AV35" s="4"/>
      <c r="AW35" s="4"/>
      <c r="AX35" s="4"/>
      <c r="AY35" s="4"/>
      <c r="AZ35" s="4"/>
    </row>
    <row r="36" spans="1:52">
      <c r="A36" s="4">
        <v>1814</v>
      </c>
      <c r="B36" s="72">
        <v>24.808761237999999</v>
      </c>
      <c r="C36" s="72">
        <v>91.800494575622196</v>
      </c>
      <c r="D36" s="73">
        <f t="shared" si="0"/>
        <v>3.7003256105754216</v>
      </c>
      <c r="AL36" s="4"/>
      <c r="AM36" s="4">
        <v>1814</v>
      </c>
      <c r="AN36" s="4"/>
      <c r="AO36" s="4"/>
      <c r="AP36" s="4"/>
      <c r="AQ36" s="4"/>
      <c r="AR36" s="4"/>
      <c r="AS36" s="4"/>
      <c r="AT36" s="4"/>
      <c r="AU36" s="51"/>
      <c r="AV36" s="51"/>
      <c r="AW36" s="4"/>
      <c r="AX36" s="4"/>
      <c r="AY36" s="4"/>
      <c r="AZ36" s="4"/>
    </row>
    <row r="37" spans="1:52">
      <c r="A37" s="4">
        <v>1815</v>
      </c>
      <c r="B37" s="72">
        <v>24.808761237999999</v>
      </c>
      <c r="C37" s="72">
        <v>91.016371401455245</v>
      </c>
      <c r="D37" s="73">
        <f t="shared" si="0"/>
        <v>3.6687189065306467</v>
      </c>
      <c r="AL37" s="4"/>
      <c r="AM37" s="4">
        <v>1815</v>
      </c>
      <c r="AN37" s="4"/>
      <c r="AO37" s="4"/>
      <c r="AP37" s="4"/>
      <c r="AQ37" s="4"/>
      <c r="AR37" s="4"/>
      <c r="AS37" s="4"/>
      <c r="AT37" s="4"/>
      <c r="AU37" s="51"/>
      <c r="AV37" s="51"/>
      <c r="AW37" s="4"/>
      <c r="AX37" s="4"/>
      <c r="AY37" s="4"/>
      <c r="AZ37" s="4"/>
    </row>
    <row r="38" spans="1:52">
      <c r="A38" s="4">
        <v>1816</v>
      </c>
      <c r="B38" s="72">
        <v>24.808761237999999</v>
      </c>
      <c r="C38" s="72">
        <v>113.04626719056976</v>
      </c>
      <c r="D38" s="73">
        <f t="shared" si="0"/>
        <v>4.5567074512940566</v>
      </c>
      <c r="AL38" s="4"/>
      <c r="AM38" s="4">
        <v>1816</v>
      </c>
      <c r="AN38" s="4"/>
      <c r="AO38" s="4"/>
      <c r="AP38" s="4"/>
      <c r="AQ38" s="4"/>
      <c r="AR38" s="4"/>
      <c r="AS38" s="4"/>
      <c r="AT38" s="4"/>
      <c r="AU38" s="51"/>
      <c r="AV38" s="51"/>
      <c r="AW38" s="4"/>
      <c r="AX38" s="4"/>
      <c r="AY38" s="4"/>
      <c r="AZ38" s="4"/>
    </row>
    <row r="39" spans="1:52">
      <c r="A39" s="4">
        <v>1817</v>
      </c>
      <c r="B39" s="72">
        <v>24.808761237999999</v>
      </c>
      <c r="C39" s="72">
        <v>110.40013430544897</v>
      </c>
      <c r="D39" s="73">
        <f t="shared" si="0"/>
        <v>4.4500462254579327</v>
      </c>
      <c r="AL39" s="4"/>
      <c r="AM39" s="4">
        <v>1817</v>
      </c>
      <c r="AN39" s="4"/>
      <c r="AO39" s="4"/>
      <c r="AP39" s="4"/>
      <c r="AQ39" s="4"/>
      <c r="AR39" s="4"/>
      <c r="AS39" s="4"/>
      <c r="AT39" s="4"/>
      <c r="AU39" s="51"/>
      <c r="AV39" s="51"/>
      <c r="AW39" s="4"/>
      <c r="AX39" s="4"/>
      <c r="AY39" s="4"/>
      <c r="AZ39" s="4"/>
    </row>
    <row r="40" spans="1:52">
      <c r="A40" s="4">
        <v>1818</v>
      </c>
      <c r="B40" s="72">
        <v>24.808761237999999</v>
      </c>
      <c r="C40" s="72">
        <v>106.83354994430005</v>
      </c>
      <c r="D40" s="73">
        <f t="shared" si="0"/>
        <v>4.3062831279403539</v>
      </c>
      <c r="AL40" s="4"/>
      <c r="AM40" s="4">
        <v>1818</v>
      </c>
      <c r="AN40" s="4"/>
      <c r="AO40" s="4"/>
      <c r="AP40" s="4"/>
      <c r="AQ40" s="4"/>
      <c r="AR40" s="4"/>
      <c r="AS40" s="4"/>
      <c r="AT40" s="4"/>
      <c r="AU40" s="51"/>
      <c r="AV40" s="51"/>
      <c r="AW40" s="4"/>
      <c r="AX40" s="4"/>
      <c r="AY40" s="4"/>
      <c r="AZ40" s="4"/>
    </row>
    <row r="41" spans="1:52">
      <c r="A41" s="4">
        <v>1819</v>
      </c>
      <c r="B41" s="72">
        <v>24.808761237999999</v>
      </c>
      <c r="C41" s="72">
        <v>108.03708223807737</v>
      </c>
      <c r="D41" s="73">
        <f t="shared" si="0"/>
        <v>4.3547955176655559</v>
      </c>
      <c r="AL41" s="4"/>
      <c r="AM41" s="4">
        <v>1819</v>
      </c>
      <c r="AN41" s="4"/>
      <c r="AO41" s="4"/>
      <c r="AP41" s="4"/>
      <c r="AQ41" s="4"/>
      <c r="AR41" s="4"/>
      <c r="AS41" s="4"/>
      <c r="AT41" s="4"/>
      <c r="AU41" s="51"/>
      <c r="AV41" s="51"/>
      <c r="AW41" s="4"/>
      <c r="AX41" s="4"/>
      <c r="AY41" s="4"/>
      <c r="AZ41" s="4"/>
    </row>
    <row r="42" spans="1:52">
      <c r="A42" s="4">
        <v>1820</v>
      </c>
      <c r="B42" s="72">
        <v>24.808761237999999</v>
      </c>
      <c r="C42" s="72">
        <v>114.25843923749007</v>
      </c>
      <c r="D42" s="73">
        <f t="shared" si="0"/>
        <v>4.6055680951323952</v>
      </c>
      <c r="AL42" s="4"/>
      <c r="AM42" s="4">
        <v>1820</v>
      </c>
      <c r="AN42" s="4"/>
      <c r="AO42" s="4"/>
      <c r="AP42" s="4"/>
      <c r="AQ42" s="4"/>
      <c r="AR42" s="4"/>
      <c r="AS42" s="4"/>
      <c r="AT42" s="4"/>
      <c r="AU42" s="51"/>
      <c r="AV42" s="51"/>
      <c r="AW42" s="4"/>
      <c r="AX42" s="4"/>
      <c r="AY42" s="4"/>
      <c r="AZ42" s="4"/>
    </row>
    <row r="43" spans="1:52">
      <c r="A43" s="4">
        <v>1821</v>
      </c>
      <c r="B43" s="72">
        <v>24.808761237999999</v>
      </c>
      <c r="C43" s="72">
        <v>117.0474979658259</v>
      </c>
      <c r="D43" s="73">
        <f t="shared" si="0"/>
        <v>4.7179904245497859</v>
      </c>
      <c r="AL43" s="4"/>
      <c r="AM43" s="4">
        <v>1821</v>
      </c>
      <c r="AN43" s="4"/>
      <c r="AO43" s="4"/>
      <c r="AP43" s="4"/>
      <c r="AQ43" s="4"/>
      <c r="AR43" s="4"/>
      <c r="AS43" s="4"/>
      <c r="AT43" s="4"/>
      <c r="AU43" s="51"/>
      <c r="AV43" s="51"/>
      <c r="AW43" s="4"/>
      <c r="AX43" s="4"/>
      <c r="AY43" s="4"/>
      <c r="AZ43" s="4"/>
    </row>
    <row r="44" spans="1:52">
      <c r="A44" s="4">
        <v>1822</v>
      </c>
      <c r="B44" s="72">
        <v>24.808761237999999</v>
      </c>
      <c r="C44" s="72">
        <v>116.47884615384618</v>
      </c>
      <c r="D44" s="73">
        <f t="shared" si="0"/>
        <v>4.6950690135803139</v>
      </c>
      <c r="AL44" s="4"/>
      <c r="AM44" s="4">
        <v>1822</v>
      </c>
      <c r="AN44" s="4"/>
      <c r="AO44" s="4"/>
      <c r="AP44" s="4"/>
      <c r="AQ44" s="4"/>
      <c r="AR44" s="4"/>
      <c r="AS44" s="4"/>
      <c r="AT44" s="4"/>
      <c r="AU44" s="51"/>
      <c r="AV44" s="51"/>
      <c r="AW44" s="4"/>
      <c r="AX44" s="4"/>
      <c r="AY44" s="4"/>
      <c r="AZ44" s="4"/>
    </row>
    <row r="45" spans="1:52">
      <c r="A45" s="4">
        <v>1823</v>
      </c>
      <c r="E45" s="74">
        <v>5.2682926829268295</v>
      </c>
      <c r="AL45" s="4"/>
      <c r="AM45" s="4">
        <v>1823</v>
      </c>
      <c r="AN45" s="4"/>
      <c r="AO45" s="4"/>
      <c r="AP45" s="4"/>
      <c r="AQ45" s="4"/>
      <c r="AR45" s="4"/>
      <c r="AS45" s="4"/>
      <c r="AT45" s="4"/>
      <c r="AU45" s="51"/>
      <c r="AV45" s="51"/>
      <c r="AW45" s="4"/>
      <c r="AX45" s="4"/>
      <c r="AY45" s="4"/>
      <c r="AZ45" s="4"/>
    </row>
    <row r="46" spans="1:52">
      <c r="A46" s="4">
        <v>1824</v>
      </c>
      <c r="E46" s="75">
        <v>6.0285928742413777</v>
      </c>
      <c r="AL46" s="4"/>
      <c r="AM46" s="4">
        <v>1824</v>
      </c>
      <c r="AN46" s="4"/>
      <c r="AO46" s="4"/>
      <c r="AP46" s="4"/>
      <c r="AQ46" s="4"/>
      <c r="AR46" s="4"/>
      <c r="AS46" s="4"/>
      <c r="AT46" s="4"/>
      <c r="AU46" s="51"/>
      <c r="AV46" s="51"/>
      <c r="AW46" s="4"/>
      <c r="AX46" s="4"/>
      <c r="AY46" s="4"/>
      <c r="AZ46" s="4"/>
    </row>
    <row r="47" spans="1:52">
      <c r="A47" s="4">
        <v>1825</v>
      </c>
      <c r="E47" s="75">
        <v>5.6036452273816426</v>
      </c>
      <c r="AL47" s="4"/>
      <c r="AM47" s="4">
        <v>1825</v>
      </c>
      <c r="AN47" s="4"/>
      <c r="AO47" s="4"/>
      <c r="AP47" s="4"/>
      <c r="AQ47" s="4"/>
      <c r="AR47" s="4"/>
      <c r="AS47" s="4"/>
      <c r="AT47" s="4"/>
      <c r="AU47" s="51"/>
      <c r="AV47" s="51"/>
      <c r="AW47" s="4"/>
      <c r="AX47" s="4"/>
      <c r="AY47" s="4"/>
      <c r="AZ47" s="4"/>
    </row>
    <row r="48" spans="1:52">
      <c r="A48" s="4">
        <v>1826</v>
      </c>
      <c r="E48" s="75">
        <v>7.9461260611531852</v>
      </c>
      <c r="AL48" s="4"/>
      <c r="AM48" s="4">
        <v>1826</v>
      </c>
      <c r="AN48" s="4"/>
      <c r="AO48" s="4"/>
      <c r="AP48" s="4"/>
      <c r="AQ48" s="4"/>
      <c r="AR48" s="4"/>
      <c r="AS48" s="4"/>
      <c r="AT48" s="4"/>
      <c r="AU48" s="51"/>
      <c r="AV48" s="51"/>
      <c r="AW48" s="4"/>
      <c r="AX48" s="4"/>
      <c r="AY48" s="4"/>
      <c r="AZ48" s="4"/>
    </row>
    <row r="49" spans="1:52">
      <c r="A49" s="4">
        <v>1827</v>
      </c>
      <c r="E49" s="75">
        <v>16.956660282347308</v>
      </c>
      <c r="AL49" s="4"/>
      <c r="AM49" s="4">
        <v>1827</v>
      </c>
      <c r="AN49" s="4"/>
      <c r="AO49" s="4"/>
      <c r="AP49" s="4"/>
      <c r="AQ49" s="4"/>
      <c r="AR49" s="4"/>
      <c r="AS49" s="4"/>
      <c r="AT49" s="4"/>
      <c r="AU49" s="51"/>
      <c r="AV49" s="51"/>
      <c r="AW49" s="4"/>
      <c r="AX49" s="4"/>
      <c r="AY49" s="4"/>
      <c r="AZ49" s="4"/>
    </row>
    <row r="50" spans="1:52">
      <c r="A50" s="4">
        <v>1828</v>
      </c>
      <c r="E50" s="75">
        <v>14.941333333333336</v>
      </c>
      <c r="AL50" s="4"/>
      <c r="AM50" s="4">
        <v>1828</v>
      </c>
      <c r="AN50" s="4"/>
      <c r="AO50" s="4"/>
      <c r="AP50" s="4"/>
      <c r="AQ50" s="4"/>
      <c r="AR50" s="4"/>
      <c r="AS50" s="4"/>
      <c r="AT50" s="4"/>
      <c r="AU50" s="51"/>
      <c r="AV50" s="51"/>
      <c r="AW50" s="4"/>
      <c r="AX50" s="4"/>
      <c r="AY50" s="4"/>
      <c r="AZ50" s="4"/>
    </row>
    <row r="51" spans="1:52">
      <c r="A51" s="4">
        <v>1829</v>
      </c>
      <c r="E51" s="75">
        <v>25.329249999999998</v>
      </c>
      <c r="AL51" s="4"/>
      <c r="AM51" s="4">
        <v>1829</v>
      </c>
      <c r="AN51" s="4"/>
      <c r="AO51" s="4"/>
      <c r="AP51" s="4"/>
      <c r="AQ51" s="4"/>
      <c r="AR51" s="4"/>
      <c r="AS51" s="4"/>
      <c r="AT51" s="4"/>
      <c r="AU51" s="51"/>
      <c r="AV51" s="51"/>
      <c r="AW51" s="4"/>
      <c r="AX51" s="4"/>
      <c r="AY51" s="4"/>
      <c r="AZ51" s="4"/>
    </row>
    <row r="52" spans="1:52">
      <c r="A52" s="4">
        <v>1830</v>
      </c>
      <c r="E52" s="75">
        <v>33.842132549937659</v>
      </c>
      <c r="AL52" s="4"/>
      <c r="AM52" s="4">
        <v>1830</v>
      </c>
      <c r="AN52" s="4"/>
      <c r="AO52" s="4"/>
      <c r="AP52" s="4"/>
      <c r="AQ52" s="4"/>
      <c r="AR52" s="4"/>
      <c r="AS52" s="4"/>
      <c r="AT52" s="4"/>
      <c r="AU52" s="51"/>
      <c r="AV52" s="51"/>
      <c r="AW52" s="4"/>
      <c r="AX52" s="4"/>
      <c r="AY52" s="4"/>
      <c r="AZ52" s="4"/>
    </row>
    <row r="53" spans="1:52">
      <c r="A53" s="4">
        <v>1831</v>
      </c>
      <c r="E53" s="75">
        <v>34.011166666666668</v>
      </c>
      <c r="AL53" s="4"/>
      <c r="AM53" s="4">
        <v>1831</v>
      </c>
      <c r="AN53" s="4"/>
      <c r="AO53" s="4"/>
      <c r="AP53" s="4"/>
      <c r="AQ53" s="4"/>
      <c r="AR53" s="4"/>
      <c r="AS53" s="4"/>
      <c r="AT53" s="4"/>
      <c r="AU53" s="51"/>
      <c r="AV53" s="51"/>
      <c r="AW53" s="4"/>
      <c r="AX53" s="4"/>
      <c r="AY53" s="4"/>
      <c r="AZ53" s="4"/>
    </row>
    <row r="54" spans="1:52">
      <c r="A54" s="4">
        <v>1832</v>
      </c>
      <c r="E54" s="75">
        <v>33.602833333333336</v>
      </c>
      <c r="AL54" s="4"/>
      <c r="AM54" s="4">
        <v>1832</v>
      </c>
      <c r="AN54" s="4"/>
      <c r="AO54" s="4"/>
      <c r="AP54" s="4"/>
      <c r="AQ54" s="4"/>
      <c r="AR54" s="4"/>
      <c r="AS54" s="4"/>
      <c r="AT54" s="4"/>
      <c r="AU54" s="51"/>
      <c r="AV54" s="51"/>
      <c r="AW54" s="4"/>
      <c r="AX54" s="4"/>
      <c r="AY54" s="4"/>
      <c r="AZ54" s="4"/>
    </row>
    <row r="55" spans="1:52">
      <c r="A55" s="4">
        <v>1833</v>
      </c>
      <c r="E55" s="75">
        <v>35.02675</v>
      </c>
      <c r="AL55" s="4"/>
      <c r="AM55" s="4">
        <v>1833</v>
      </c>
      <c r="AN55" s="4"/>
      <c r="AO55" s="4"/>
      <c r="AP55" s="4"/>
      <c r="AQ55" s="4"/>
      <c r="AR55" s="4"/>
      <c r="AS55" s="4"/>
      <c r="AT55" s="4"/>
      <c r="AU55" s="51"/>
      <c r="AV55" s="51"/>
      <c r="AW55" s="4"/>
      <c r="AX55" s="4"/>
      <c r="AY55" s="4"/>
      <c r="AZ55" s="4"/>
    </row>
    <row r="56" spans="1:52">
      <c r="A56" s="4">
        <v>1834</v>
      </c>
      <c r="E56" s="75">
        <v>33.753500000000003</v>
      </c>
      <c r="AL56" s="4"/>
      <c r="AM56" s="4">
        <v>1834</v>
      </c>
      <c r="AN56" s="4"/>
      <c r="AO56" s="4"/>
      <c r="AP56" s="4"/>
      <c r="AQ56" s="4"/>
      <c r="AR56" s="4"/>
      <c r="AS56" s="4"/>
      <c r="AT56" s="4"/>
      <c r="AU56" s="51"/>
      <c r="AV56" s="51"/>
      <c r="AW56" s="4"/>
      <c r="AX56" s="4"/>
      <c r="AY56" s="4"/>
      <c r="AZ56" s="4"/>
    </row>
    <row r="57" spans="1:52">
      <c r="A57" s="4">
        <v>1835</v>
      </c>
      <c r="E57" s="75">
        <v>35.035666666666664</v>
      </c>
      <c r="AL57" s="4"/>
      <c r="AM57" s="4">
        <v>1835</v>
      </c>
      <c r="AN57" s="4"/>
      <c r="AO57" s="4"/>
      <c r="AP57" s="4"/>
      <c r="AQ57" s="4"/>
      <c r="AR57" s="4"/>
      <c r="AS57" s="4"/>
      <c r="AT57" s="4"/>
      <c r="AU57" s="51"/>
      <c r="AV57" s="51"/>
      <c r="AW57" s="4"/>
      <c r="AX57" s="4"/>
      <c r="AY57" s="4"/>
      <c r="AZ57" s="4"/>
    </row>
    <row r="58" spans="1:52">
      <c r="A58" s="4">
        <v>1836</v>
      </c>
      <c r="E58" s="75">
        <v>34.293083333333335</v>
      </c>
      <c r="AL58" s="4"/>
      <c r="AM58" s="4">
        <v>1836</v>
      </c>
      <c r="AN58" s="4"/>
      <c r="AO58" s="4"/>
      <c r="AP58" s="4"/>
      <c r="AQ58" s="4"/>
      <c r="AR58" s="4"/>
      <c r="AS58" s="4"/>
      <c r="AT58" s="4"/>
      <c r="AU58" s="51"/>
      <c r="AV58" s="51"/>
      <c r="AW58" s="4"/>
      <c r="AX58" s="4"/>
      <c r="AY58" s="4"/>
      <c r="AZ58" s="4"/>
    </row>
    <row r="59" spans="1:52">
      <c r="A59" s="4">
        <v>1837</v>
      </c>
      <c r="E59" s="75">
        <v>38.433250000000001</v>
      </c>
      <c r="AL59" s="4"/>
      <c r="AM59" s="4">
        <v>1837</v>
      </c>
      <c r="AN59" s="4"/>
      <c r="AO59" s="4"/>
      <c r="AP59" s="4"/>
      <c r="AQ59" s="4"/>
      <c r="AR59" s="4"/>
      <c r="AS59" s="4"/>
      <c r="AT59" s="4"/>
      <c r="AU59" s="51"/>
      <c r="AV59" s="51"/>
      <c r="AW59" s="4"/>
      <c r="AX59" s="4"/>
      <c r="AY59" s="4"/>
      <c r="AZ59" s="4"/>
    </row>
    <row r="60" spans="1:52">
      <c r="A60" s="4">
        <v>1838</v>
      </c>
      <c r="E60" s="75">
        <v>42.547749999999994</v>
      </c>
      <c r="AL60" s="4"/>
      <c r="AM60" s="4">
        <v>1838</v>
      </c>
      <c r="AN60" s="4"/>
      <c r="AO60" s="4"/>
      <c r="AP60" s="4"/>
      <c r="AQ60" s="4"/>
      <c r="AR60" s="4"/>
      <c r="AS60" s="4"/>
      <c r="AT60" s="4"/>
      <c r="AU60" s="51"/>
      <c r="AV60" s="51"/>
      <c r="AW60" s="4"/>
      <c r="AX60" s="4"/>
      <c r="AY60" s="4"/>
      <c r="AZ60" s="4"/>
    </row>
    <row r="61" spans="1:52">
      <c r="A61" s="4">
        <v>1839</v>
      </c>
      <c r="E61" s="75">
        <v>66.570583333333332</v>
      </c>
      <c r="AL61" s="4"/>
      <c r="AM61" s="4">
        <v>1839</v>
      </c>
      <c r="AN61" s="4"/>
      <c r="AO61" s="4"/>
      <c r="AP61" s="4"/>
      <c r="AQ61" s="4"/>
      <c r="AR61" s="4"/>
      <c r="AS61" s="4"/>
      <c r="AT61" s="4"/>
      <c r="AU61" s="51"/>
      <c r="AV61" s="51"/>
      <c r="AW61" s="4"/>
      <c r="AX61" s="4"/>
      <c r="AY61" s="4"/>
      <c r="AZ61" s="4"/>
    </row>
    <row r="62" spans="1:52">
      <c r="A62" s="4">
        <v>1840</v>
      </c>
      <c r="E62" s="75">
        <v>100.4105995608012</v>
      </c>
      <c r="AL62" s="4"/>
      <c r="AM62" s="4">
        <v>1840</v>
      </c>
      <c r="AN62" s="4"/>
      <c r="AO62" s="4"/>
      <c r="AP62" s="4"/>
      <c r="AQ62" s="4"/>
      <c r="AR62" s="4"/>
      <c r="AS62" s="4"/>
      <c r="AT62" s="4"/>
      <c r="AU62" s="51"/>
      <c r="AV62" s="51"/>
      <c r="AW62" s="4"/>
      <c r="AX62" s="4"/>
      <c r="AY62" s="4"/>
      <c r="AZ62" s="4"/>
    </row>
    <row r="63" spans="1:52">
      <c r="A63" s="4">
        <v>1841</v>
      </c>
      <c r="E63" s="75">
        <v>89.546750000000003</v>
      </c>
      <c r="AL63" s="4"/>
      <c r="AM63" s="4">
        <v>1841</v>
      </c>
      <c r="AN63" s="4"/>
      <c r="AO63" s="4"/>
      <c r="AP63" s="4"/>
      <c r="AQ63" s="4"/>
      <c r="AR63" s="4"/>
      <c r="AS63" s="4"/>
      <c r="AT63" s="4"/>
      <c r="AU63" s="4"/>
      <c r="AV63" s="4"/>
      <c r="AW63" s="4"/>
      <c r="AX63" s="4"/>
      <c r="AY63" s="4"/>
      <c r="AZ63" s="4"/>
    </row>
    <row r="64" spans="1:52">
      <c r="A64" s="4">
        <v>1842</v>
      </c>
      <c r="E64" s="75">
        <v>81.703000000031622</v>
      </c>
      <c r="AL64" s="4"/>
      <c r="AM64" s="4">
        <v>1842</v>
      </c>
      <c r="AN64" s="4"/>
      <c r="AO64" s="4"/>
      <c r="AP64" s="4"/>
      <c r="AQ64" s="51"/>
      <c r="AR64" s="51"/>
      <c r="AS64" s="4"/>
      <c r="AT64" s="4"/>
      <c r="AU64" s="4"/>
      <c r="AV64" s="4"/>
      <c r="AW64" s="4"/>
      <c r="AX64" s="4"/>
      <c r="AY64" s="4"/>
      <c r="AZ64" s="4"/>
    </row>
    <row r="65" spans="1:52">
      <c r="A65" s="4">
        <v>1843</v>
      </c>
      <c r="E65" s="75">
        <v>78.956333333333347</v>
      </c>
      <c r="AL65" s="4"/>
      <c r="AM65" s="4">
        <v>1843</v>
      </c>
      <c r="AN65" s="4"/>
      <c r="AO65" s="4"/>
      <c r="AP65" s="4"/>
      <c r="AQ65" s="51"/>
      <c r="AR65" s="51"/>
      <c r="AS65" s="4"/>
      <c r="AT65" s="4"/>
      <c r="AU65" s="4"/>
      <c r="AV65" s="4"/>
      <c r="AW65" s="4"/>
      <c r="AX65" s="4"/>
      <c r="AY65" s="4"/>
      <c r="AZ65" s="4"/>
    </row>
    <row r="66" spans="1:52">
      <c r="A66" s="4">
        <v>1844</v>
      </c>
      <c r="E66" s="75">
        <v>64.694500000000005</v>
      </c>
      <c r="AL66" s="4"/>
      <c r="AM66" s="4">
        <v>1844</v>
      </c>
      <c r="AN66" s="4"/>
      <c r="AO66" s="4"/>
      <c r="AP66" s="4"/>
      <c r="AQ66" s="51"/>
      <c r="AR66" s="51"/>
      <c r="AS66" s="4"/>
      <c r="AT66" s="4"/>
      <c r="AU66" s="4"/>
      <c r="AV66" s="4"/>
      <c r="AW66" s="4"/>
      <c r="AX66" s="4"/>
      <c r="AY66" s="4"/>
      <c r="AZ66" s="4"/>
    </row>
    <row r="67" spans="1:52">
      <c r="A67" s="4">
        <v>1845</v>
      </c>
      <c r="E67" s="75">
        <v>73.692583333333332</v>
      </c>
      <c r="AL67" s="4"/>
      <c r="AM67" s="4">
        <v>1845</v>
      </c>
      <c r="AN67" s="4"/>
      <c r="AO67" s="4"/>
      <c r="AP67" s="4"/>
      <c r="AQ67" s="51"/>
      <c r="AR67" s="51"/>
      <c r="AS67" s="4"/>
      <c r="AT67" s="4"/>
      <c r="AU67" s="4"/>
      <c r="AV67" s="4"/>
      <c r="AW67" s="4"/>
      <c r="AX67" s="4"/>
      <c r="AY67" s="4"/>
      <c r="AZ67" s="4"/>
    </row>
    <row r="68" spans="1:52">
      <c r="A68" s="4">
        <v>1846</v>
      </c>
      <c r="E68" s="75">
        <v>100.983</v>
      </c>
      <c r="AL68" s="4"/>
      <c r="AM68" s="4">
        <v>1846</v>
      </c>
      <c r="AN68" s="4"/>
      <c r="AO68" s="4"/>
      <c r="AP68" s="4"/>
      <c r="AQ68" s="51"/>
      <c r="AR68" s="51"/>
      <c r="AS68" s="4"/>
      <c r="AT68" s="4"/>
      <c r="AU68" s="4"/>
      <c r="AV68" s="4"/>
      <c r="AW68" s="4"/>
      <c r="AX68" s="4"/>
      <c r="AY68" s="4"/>
      <c r="AZ68" s="4"/>
    </row>
    <row r="69" spans="1:52">
      <c r="A69" s="4">
        <v>1847</v>
      </c>
      <c r="E69" s="75">
        <v>100.78958466477098</v>
      </c>
      <c r="AL69" s="4"/>
      <c r="AM69" s="4">
        <v>1847</v>
      </c>
      <c r="AN69" s="4"/>
      <c r="AO69" s="4"/>
      <c r="AP69" s="4"/>
      <c r="AQ69" s="4"/>
      <c r="AR69" s="51"/>
      <c r="AS69" s="4"/>
      <c r="AT69" s="4"/>
      <c r="AU69" s="4"/>
      <c r="AV69" s="4"/>
      <c r="AW69" s="4"/>
      <c r="AX69" s="4"/>
      <c r="AY69" s="4"/>
      <c r="AZ69" s="4"/>
    </row>
    <row r="70" spans="1:52">
      <c r="A70" s="4">
        <v>1848</v>
      </c>
      <c r="E70" s="75">
        <v>113.5498147131611</v>
      </c>
      <c r="AL70" s="4"/>
      <c r="AM70" s="4">
        <v>1848</v>
      </c>
      <c r="AN70" s="4"/>
      <c r="AO70" s="4"/>
      <c r="AP70" s="4"/>
      <c r="AQ70" s="4"/>
      <c r="AR70" s="51"/>
      <c r="AS70" s="4"/>
      <c r="AT70" s="4"/>
      <c r="AU70" s="4"/>
      <c r="AV70" s="4"/>
      <c r="AW70" s="4"/>
      <c r="AX70" s="4"/>
      <c r="AY70" s="4"/>
      <c r="AZ70" s="4"/>
    </row>
    <row r="71" spans="1:52">
      <c r="A71" s="4">
        <v>1849</v>
      </c>
      <c r="E71" s="75">
        <v>96.068674425906977</v>
      </c>
      <c r="AL71" s="4"/>
      <c r="AM71" s="4">
        <v>1849</v>
      </c>
      <c r="AN71" s="4"/>
      <c r="AO71" s="4"/>
      <c r="AP71" s="4"/>
      <c r="AQ71" s="4"/>
      <c r="AR71" s="51"/>
      <c r="AS71" s="4"/>
      <c r="AT71" s="4"/>
      <c r="AU71" s="4"/>
      <c r="AV71" s="4"/>
      <c r="AW71" s="4"/>
      <c r="AX71" s="4"/>
      <c r="AY71" s="4"/>
      <c r="AZ71" s="4"/>
    </row>
    <row r="72" spans="1:52">
      <c r="A72" s="4">
        <v>1850</v>
      </c>
      <c r="E72" s="75">
        <v>70.383749999999992</v>
      </c>
      <c r="AL72" s="4"/>
      <c r="AM72" s="4">
        <v>1850</v>
      </c>
      <c r="AN72" s="4"/>
      <c r="AO72" s="4"/>
      <c r="AP72" s="4"/>
      <c r="AQ72" s="51"/>
      <c r="AR72" s="51"/>
      <c r="AS72" s="4"/>
      <c r="AT72" s="4"/>
      <c r="AU72" s="4"/>
      <c r="AV72" s="4"/>
      <c r="AW72" s="4"/>
      <c r="AX72" s="4"/>
      <c r="AY72" s="4"/>
      <c r="AZ72" s="4"/>
    </row>
    <row r="73" spans="1:52">
      <c r="A73" s="4">
        <v>1851</v>
      </c>
      <c r="E73" s="75">
        <v>82.036416666666668</v>
      </c>
      <c r="AL73" s="4"/>
      <c r="AM73" s="4">
        <v>1851</v>
      </c>
      <c r="AN73" s="4"/>
      <c r="AO73" s="4"/>
      <c r="AP73" s="4"/>
      <c r="AQ73" s="4"/>
      <c r="AR73" s="51"/>
      <c r="AS73" s="4"/>
      <c r="AT73" s="4"/>
      <c r="AU73" s="4"/>
      <c r="AV73" s="4"/>
      <c r="AW73" s="4"/>
      <c r="AX73" s="4"/>
      <c r="AY73" s="4"/>
      <c r="AZ73" s="4"/>
    </row>
    <row r="74" spans="1:52">
      <c r="A74" s="4">
        <v>1852</v>
      </c>
      <c r="E74" s="75">
        <v>84.932164020235163</v>
      </c>
      <c r="AL74" s="4"/>
      <c r="AM74" s="4">
        <v>1852</v>
      </c>
      <c r="AN74" s="4"/>
      <c r="AO74" s="4"/>
      <c r="AP74" s="4"/>
      <c r="AQ74" s="51"/>
      <c r="AR74" s="51"/>
      <c r="AS74" s="4"/>
      <c r="AT74" s="4"/>
      <c r="AU74" s="4"/>
      <c r="AV74" s="4"/>
      <c r="AW74" s="4"/>
      <c r="AX74" s="4"/>
      <c r="AY74" s="4"/>
      <c r="AZ74" s="4"/>
    </row>
    <row r="75" spans="1:52">
      <c r="A75" s="4">
        <v>1853</v>
      </c>
      <c r="E75" s="75">
        <v>99.713826861340834</v>
      </c>
      <c r="AL75" s="4"/>
      <c r="AM75" s="4">
        <v>1853</v>
      </c>
      <c r="AN75" s="4"/>
      <c r="AO75" s="4"/>
      <c r="AP75" s="4"/>
      <c r="AQ75" s="4"/>
      <c r="AR75" s="51"/>
      <c r="AS75" s="4"/>
      <c r="AT75" s="4"/>
      <c r="AU75" s="4"/>
      <c r="AV75" s="4"/>
      <c r="AW75" s="4"/>
      <c r="AX75" s="4"/>
      <c r="AY75" s="4"/>
      <c r="AZ75" s="4"/>
    </row>
    <row r="76" spans="1:52">
      <c r="A76" s="4">
        <v>1854</v>
      </c>
      <c r="E76" s="75">
        <v>99.008833333333342</v>
      </c>
      <c r="AL76" s="4"/>
      <c r="AM76" s="4">
        <v>1854</v>
      </c>
      <c r="AN76" s="4"/>
      <c r="AO76" s="4"/>
      <c r="AP76" s="4"/>
      <c r="AQ76" s="4"/>
      <c r="AR76" s="51"/>
      <c r="AS76" s="4"/>
      <c r="AT76" s="4"/>
      <c r="AU76" s="4"/>
      <c r="AV76" s="4"/>
      <c r="AW76" s="4"/>
      <c r="AX76" s="4"/>
      <c r="AY76" s="4"/>
      <c r="AZ76" s="4"/>
    </row>
    <row r="77" spans="1:52">
      <c r="A77" s="4">
        <v>1855</v>
      </c>
      <c r="E77" s="75">
        <v>106.06825000000001</v>
      </c>
      <c r="AL77" s="4"/>
      <c r="AM77" s="4">
        <v>1855</v>
      </c>
      <c r="AN77" s="4"/>
      <c r="AO77" s="4"/>
      <c r="AP77" s="4"/>
      <c r="AQ77" s="51"/>
      <c r="AR77" s="51"/>
      <c r="AS77" s="4"/>
      <c r="AT77" s="4"/>
      <c r="AU77" s="4"/>
      <c r="AV77" s="4"/>
      <c r="AW77" s="4"/>
      <c r="AX77" s="4"/>
      <c r="AY77" s="4"/>
      <c r="AZ77" s="4"/>
    </row>
    <row r="78" spans="1:52">
      <c r="A78" s="4">
        <v>1856</v>
      </c>
      <c r="E78" s="75">
        <v>103.07466666666667</v>
      </c>
      <c r="AL78" s="4"/>
      <c r="AM78" s="4">
        <v>1856</v>
      </c>
      <c r="AN78" s="4"/>
      <c r="AO78" s="4"/>
      <c r="AP78" s="4"/>
      <c r="AQ78" s="51"/>
      <c r="AR78" s="51"/>
      <c r="AS78" s="4"/>
      <c r="AT78" s="4"/>
      <c r="AU78" s="4"/>
      <c r="AV78" s="4"/>
      <c r="AW78" s="4"/>
      <c r="AX78" s="4"/>
      <c r="AY78" s="4"/>
      <c r="AZ78" s="4"/>
    </row>
    <row r="79" spans="1:52">
      <c r="A79" s="4">
        <v>1857</v>
      </c>
      <c r="E79" s="75">
        <v>96.713166666666666</v>
      </c>
      <c r="AL79" s="4"/>
      <c r="AM79" s="4">
        <v>1857</v>
      </c>
      <c r="AN79" s="4"/>
      <c r="AO79" s="4"/>
      <c r="AP79" s="4"/>
      <c r="AQ79" s="51"/>
      <c r="AR79" s="51"/>
      <c r="AS79" s="4"/>
      <c r="AT79" s="4"/>
      <c r="AU79" s="4"/>
      <c r="AV79" s="4"/>
      <c r="AW79" s="4"/>
      <c r="AX79" s="4"/>
      <c r="AY79" s="4"/>
      <c r="AZ79" s="4"/>
    </row>
    <row r="80" spans="1:52">
      <c r="A80" s="4">
        <v>1858</v>
      </c>
      <c r="D80" s="4"/>
      <c r="AL80" s="4"/>
      <c r="AM80" s="4">
        <v>1858</v>
      </c>
      <c r="AN80" s="4"/>
      <c r="AO80" s="4"/>
      <c r="AP80" s="4"/>
      <c r="AQ80" s="51"/>
      <c r="AR80" s="51"/>
      <c r="AS80" s="4"/>
      <c r="AT80" s="4"/>
      <c r="AU80" s="4"/>
      <c r="AV80" s="4"/>
      <c r="AW80" s="4"/>
      <c r="AX80" s="4"/>
      <c r="AY80" s="4"/>
      <c r="AZ80" s="4"/>
    </row>
    <row r="81" spans="1:52">
      <c r="A81" s="4">
        <v>1859</v>
      </c>
      <c r="D81" s="4"/>
      <c r="AL81" s="4"/>
      <c r="AM81" s="4">
        <v>1859</v>
      </c>
      <c r="AN81" s="4"/>
      <c r="AO81" s="4"/>
      <c r="AP81" s="4"/>
      <c r="AQ81" s="51"/>
      <c r="AR81" s="51"/>
      <c r="AS81" s="4"/>
      <c r="AT81" s="4"/>
      <c r="AU81" s="4"/>
      <c r="AV81" s="4"/>
      <c r="AW81" s="4"/>
      <c r="AX81" s="4"/>
      <c r="AY81" s="4"/>
      <c r="AZ81" s="4"/>
    </row>
    <row r="82" spans="1:52">
      <c r="A82" s="4">
        <v>1860</v>
      </c>
      <c r="D82" s="4"/>
      <c r="AL82" s="4"/>
      <c r="AM82" s="4">
        <v>1860</v>
      </c>
      <c r="AN82" s="4"/>
      <c r="AO82" s="4"/>
      <c r="AP82" s="4"/>
      <c r="AQ82" s="4"/>
      <c r="AR82" s="51"/>
      <c r="AS82" s="4"/>
      <c r="AT82" s="4"/>
      <c r="AU82" s="4"/>
      <c r="AV82" s="4"/>
      <c r="AW82" s="4"/>
      <c r="AX82" s="4"/>
      <c r="AY82" s="4"/>
      <c r="AZ82" s="4"/>
    </row>
    <row r="83" spans="1:52">
      <c r="A83" s="4">
        <v>1861</v>
      </c>
      <c r="D83" s="4"/>
      <c r="AL83" s="4"/>
      <c r="AM83" s="4">
        <v>1861</v>
      </c>
      <c r="AN83" s="4"/>
      <c r="AO83" s="4"/>
      <c r="AP83" s="4"/>
      <c r="AQ83" s="4"/>
      <c r="AR83" s="51"/>
      <c r="AS83" s="4"/>
      <c r="AT83" s="4"/>
      <c r="AU83" s="4"/>
      <c r="AV83" s="4"/>
      <c r="AW83" s="4"/>
      <c r="AX83" s="4"/>
      <c r="AY83" s="4"/>
      <c r="AZ83" s="4"/>
    </row>
    <row r="84" spans="1:52">
      <c r="A84" s="4">
        <v>1862</v>
      </c>
      <c r="D84" s="4"/>
      <c r="AL84" s="4"/>
      <c r="AM84" s="4">
        <v>1862</v>
      </c>
      <c r="AN84" s="4"/>
      <c r="AO84" s="4"/>
      <c r="AP84" s="4"/>
      <c r="AQ84" s="4"/>
      <c r="AR84" s="51"/>
      <c r="AS84" s="4"/>
      <c r="AT84" s="4"/>
      <c r="AU84" s="4"/>
      <c r="AV84" s="4"/>
      <c r="AW84" s="4"/>
      <c r="AX84" s="4"/>
      <c r="AY84" s="4"/>
      <c r="AZ84" s="4"/>
    </row>
    <row r="85" spans="1:52">
      <c r="A85" s="4">
        <v>1863</v>
      </c>
      <c r="D85" s="4"/>
      <c r="AL85" s="4"/>
      <c r="AM85" s="4">
        <v>1863</v>
      </c>
      <c r="AN85" s="4"/>
      <c r="AO85" s="4"/>
      <c r="AP85" s="4"/>
      <c r="AQ85" s="4"/>
      <c r="AR85" s="51"/>
      <c r="AS85" s="4"/>
      <c r="AT85" s="4"/>
      <c r="AU85" s="4"/>
      <c r="AV85" s="4"/>
      <c r="AW85" s="4"/>
      <c r="AX85" s="4"/>
      <c r="AY85" s="4"/>
      <c r="AZ85" s="4"/>
    </row>
    <row r="86" spans="1:52">
      <c r="A86" s="4">
        <v>1864</v>
      </c>
      <c r="F86" s="76">
        <v>4.8435555555555565</v>
      </c>
      <c r="AL86" s="4"/>
      <c r="AM86" s="4">
        <v>1864</v>
      </c>
      <c r="AN86" s="4"/>
      <c r="AO86" s="4"/>
      <c r="AP86" s="4"/>
      <c r="AQ86" s="4"/>
      <c r="AR86" s="51"/>
      <c r="AS86" s="4"/>
      <c r="AT86" s="4"/>
      <c r="AU86" s="4"/>
      <c r="AV86" s="4"/>
      <c r="AW86" s="4"/>
      <c r="AX86" s="4"/>
      <c r="AY86" s="4"/>
      <c r="AZ86" s="4"/>
    </row>
    <row r="87" spans="1:52">
      <c r="A87" s="4">
        <v>1865</v>
      </c>
      <c r="F87" s="76">
        <v>4.8857500000000007</v>
      </c>
      <c r="AL87" s="4"/>
      <c r="AM87" s="4">
        <v>1865</v>
      </c>
      <c r="AN87" s="4"/>
      <c r="AO87" s="4"/>
      <c r="AP87" s="4"/>
      <c r="AQ87" s="4"/>
      <c r="AR87" s="51"/>
      <c r="AS87" s="4"/>
      <c r="AT87" s="4"/>
      <c r="AU87" s="4"/>
      <c r="AV87" s="4"/>
      <c r="AW87" s="4"/>
      <c r="AX87" s="4"/>
      <c r="AY87" s="4"/>
      <c r="AZ87" s="4"/>
    </row>
    <row r="88" spans="1:52">
      <c r="A88" s="4">
        <v>1866</v>
      </c>
      <c r="F88" s="76">
        <v>4.8064166666666672</v>
      </c>
      <c r="AL88" s="4"/>
      <c r="AM88" s="4">
        <v>1866</v>
      </c>
      <c r="AN88" s="4"/>
      <c r="AO88" s="4"/>
      <c r="AP88" s="4"/>
      <c r="AQ88" s="4"/>
      <c r="AR88" s="51"/>
      <c r="AS88" s="4"/>
      <c r="AT88" s="4"/>
      <c r="AU88" s="4"/>
      <c r="AV88" s="4"/>
      <c r="AW88" s="4"/>
      <c r="AX88" s="4"/>
      <c r="AY88" s="4"/>
      <c r="AZ88" s="4"/>
    </row>
    <row r="89" spans="1:52">
      <c r="A89" s="4">
        <v>1867</v>
      </c>
      <c r="F89" s="76">
        <v>4.9414999999999996</v>
      </c>
      <c r="AL89" s="4"/>
      <c r="AM89" s="4">
        <v>1867</v>
      </c>
      <c r="AN89" s="4"/>
      <c r="AO89" s="4"/>
      <c r="AP89" s="4"/>
      <c r="AQ89" s="4"/>
      <c r="AR89" s="51"/>
      <c r="AS89" s="4"/>
      <c r="AT89" s="4"/>
      <c r="AU89" s="4"/>
      <c r="AV89" s="4"/>
      <c r="AW89" s="4"/>
      <c r="AX89" s="4"/>
      <c r="AY89" s="4"/>
      <c r="AZ89" s="4"/>
    </row>
    <row r="90" spans="1:52">
      <c r="A90" s="4">
        <v>1868</v>
      </c>
      <c r="F90" s="76">
        <v>4.8865833333333342</v>
      </c>
      <c r="AL90" s="4"/>
      <c r="AM90" s="4">
        <v>1868</v>
      </c>
      <c r="AN90" s="4"/>
      <c r="AO90" s="4"/>
      <c r="AP90" s="4"/>
      <c r="AQ90" s="4"/>
      <c r="AR90" s="51"/>
      <c r="AS90" s="4"/>
      <c r="AT90" s="4"/>
      <c r="AU90" s="4"/>
      <c r="AV90" s="4"/>
      <c r="AW90" s="4"/>
      <c r="AX90" s="4"/>
      <c r="AY90" s="4"/>
      <c r="AZ90" s="4"/>
    </row>
    <row r="91" spans="1:52">
      <c r="A91" s="4">
        <v>1869</v>
      </c>
      <c r="F91" s="76">
        <v>4.780159577386641</v>
      </c>
      <c r="AL91" s="4"/>
      <c r="AM91" s="4">
        <v>1869</v>
      </c>
      <c r="AN91" s="4"/>
      <c r="AO91" s="4"/>
      <c r="AP91" s="4"/>
      <c r="AQ91" s="4"/>
      <c r="AR91" s="51"/>
      <c r="AS91" s="4"/>
      <c r="AT91" s="4"/>
      <c r="AU91" s="4"/>
      <c r="AV91" s="4"/>
      <c r="AW91" s="4"/>
      <c r="AX91" s="4"/>
      <c r="AY91" s="4"/>
      <c r="AZ91" s="4"/>
    </row>
    <row r="92" spans="1:52">
      <c r="A92" s="4">
        <v>1870</v>
      </c>
      <c r="F92" s="76">
        <v>4.7862500000000008</v>
      </c>
      <c r="AL92" s="4"/>
      <c r="AM92" s="4">
        <v>1870</v>
      </c>
      <c r="AN92" s="4"/>
      <c r="AO92" s="4"/>
      <c r="AP92" s="4"/>
      <c r="AQ92" s="4"/>
      <c r="AR92" s="51"/>
      <c r="AS92" s="4"/>
      <c r="AT92" s="4"/>
      <c r="AU92" s="4"/>
      <c r="AV92" s="4"/>
      <c r="AW92" s="4"/>
      <c r="AX92" s="4"/>
      <c r="AY92" s="4"/>
      <c r="AZ92" s="4"/>
    </row>
    <row r="93" spans="1:52">
      <c r="A93" s="4">
        <v>1871</v>
      </c>
      <c r="F93" s="76">
        <v>4.7470789191694234</v>
      </c>
      <c r="AL93" s="4"/>
      <c r="AM93" s="4">
        <v>1871</v>
      </c>
      <c r="AN93" s="4"/>
      <c r="AO93" s="4"/>
      <c r="AP93" s="4"/>
      <c r="AQ93" s="4"/>
      <c r="AR93" s="4"/>
      <c r="AS93" s="4"/>
      <c r="AT93" s="4"/>
      <c r="AU93" s="4"/>
      <c r="AV93" s="4"/>
      <c r="AW93" s="4"/>
      <c r="AX93" s="4"/>
      <c r="AY93" s="4"/>
      <c r="AZ93" s="4"/>
    </row>
    <row r="94" spans="1:52">
      <c r="A94" s="4">
        <v>1872</v>
      </c>
      <c r="F94" s="76">
        <v>4.6918333333333333</v>
      </c>
      <c r="AL94" s="4"/>
      <c r="AM94" s="4">
        <v>1872</v>
      </c>
      <c r="AN94" s="4"/>
      <c r="AO94" s="4"/>
      <c r="AP94" s="4"/>
      <c r="AQ94" s="4"/>
      <c r="AR94" s="4"/>
      <c r="AS94" s="4"/>
      <c r="AT94" s="4"/>
      <c r="AU94" s="4"/>
      <c r="AV94" s="4"/>
      <c r="AW94" s="4"/>
      <c r="AX94" s="4"/>
      <c r="AY94" s="4"/>
      <c r="AZ94" s="4"/>
    </row>
    <row r="95" spans="1:52">
      <c r="A95" s="4">
        <v>1873</v>
      </c>
      <c r="F95" s="76">
        <v>4.8505000000000003</v>
      </c>
      <c r="AL95" s="4"/>
      <c r="AM95" s="4">
        <v>1873</v>
      </c>
      <c r="AN95" s="4"/>
      <c r="AO95" s="4"/>
      <c r="AP95" s="4"/>
      <c r="AQ95" s="4"/>
      <c r="AR95" s="4"/>
      <c r="AS95" s="4"/>
      <c r="AT95" s="4"/>
      <c r="AU95" s="4"/>
      <c r="AV95" s="4"/>
      <c r="AW95" s="4"/>
      <c r="AX95" s="4"/>
      <c r="AY95" s="4"/>
      <c r="AZ95" s="4"/>
    </row>
    <row r="96" spans="1:52">
      <c r="A96" s="4">
        <v>1874</v>
      </c>
      <c r="F96" s="76">
        <v>4.7814166666666669</v>
      </c>
      <c r="AL96" s="4"/>
      <c r="AM96" s="4">
        <v>1874</v>
      </c>
      <c r="AN96" s="4"/>
      <c r="AO96" s="4"/>
      <c r="AP96" s="4"/>
      <c r="AQ96" s="4"/>
      <c r="AR96" s="4"/>
      <c r="AS96" s="4"/>
      <c r="AT96" s="4"/>
      <c r="AU96" s="4"/>
      <c r="AV96" s="4"/>
      <c r="AW96" s="4"/>
      <c r="AX96" s="4"/>
      <c r="AY96" s="4"/>
      <c r="AZ96" s="4"/>
    </row>
    <row r="97" spans="1:52">
      <c r="A97" s="4">
        <v>1875</v>
      </c>
      <c r="F97" s="76">
        <v>4.785166666666667</v>
      </c>
      <c r="AL97" s="4"/>
      <c r="AM97" s="4">
        <v>1875</v>
      </c>
      <c r="AN97" s="4"/>
      <c r="AO97" s="4"/>
      <c r="AP97" s="4"/>
      <c r="AQ97" s="4"/>
      <c r="AR97" s="4"/>
      <c r="AS97" s="4"/>
      <c r="AT97" s="4"/>
      <c r="AU97" s="4"/>
      <c r="AV97" s="4"/>
      <c r="AW97" s="4"/>
      <c r="AX97" s="4"/>
      <c r="AY97" s="4"/>
      <c r="AZ97" s="4"/>
    </row>
    <row r="98" spans="1:52">
      <c r="A98" s="4">
        <v>1876</v>
      </c>
      <c r="F98" s="76">
        <v>4.7435000000000462</v>
      </c>
      <c r="AL98" s="4"/>
      <c r="AM98" s="4">
        <v>1876</v>
      </c>
      <c r="AN98" s="4"/>
      <c r="AO98" s="4"/>
      <c r="AP98" s="4"/>
      <c r="AQ98" s="4"/>
      <c r="AR98" s="4"/>
      <c r="AS98" s="4"/>
      <c r="AT98" s="4"/>
      <c r="AU98" s="4"/>
      <c r="AV98" s="4"/>
      <c r="AW98" s="4"/>
      <c r="AX98" s="4"/>
      <c r="AY98" s="4"/>
      <c r="AZ98" s="4"/>
    </row>
    <row r="99" spans="1:52">
      <c r="A99" s="4">
        <v>1877</v>
      </c>
      <c r="F99" s="76">
        <v>4.7571666666666665</v>
      </c>
      <c r="AL99" s="4"/>
      <c r="AM99" s="4">
        <v>1877</v>
      </c>
      <c r="AN99" s="4"/>
      <c r="AO99" s="4"/>
      <c r="AP99" s="4"/>
      <c r="AQ99" s="4"/>
      <c r="AR99" s="4"/>
      <c r="AS99" s="4"/>
      <c r="AT99" s="4"/>
      <c r="AU99" s="4"/>
      <c r="AV99" s="4"/>
      <c r="AW99" s="4"/>
      <c r="AX99" s="4"/>
      <c r="AY99" s="4"/>
      <c r="AZ99" s="4"/>
    </row>
    <row r="100" spans="1:52">
      <c r="A100" s="4">
        <v>1878</v>
      </c>
      <c r="F100" s="76">
        <v>4.7718333333333334</v>
      </c>
      <c r="AL100" s="4"/>
      <c r="AM100" s="4">
        <v>1878</v>
      </c>
      <c r="AN100" s="4"/>
      <c r="AO100" s="4"/>
      <c r="AP100" s="4"/>
      <c r="AQ100" s="4"/>
      <c r="AR100" s="4"/>
      <c r="AS100" s="4"/>
      <c r="AT100" s="4"/>
      <c r="AU100" s="4"/>
      <c r="AV100" s="4"/>
      <c r="AW100" s="4"/>
      <c r="AX100" s="4"/>
      <c r="AY100" s="4"/>
      <c r="AZ100" s="4"/>
    </row>
    <row r="101" spans="1:52">
      <c r="A101" s="4">
        <v>1879</v>
      </c>
      <c r="F101" s="76">
        <v>4.7921666666666676</v>
      </c>
      <c r="AL101" s="4"/>
      <c r="AM101" s="4">
        <v>1879</v>
      </c>
      <c r="AN101" s="4"/>
      <c r="AO101" s="4"/>
      <c r="AP101" s="4"/>
      <c r="AQ101" s="4"/>
      <c r="AR101" s="4"/>
      <c r="AS101" s="4"/>
      <c r="AT101" s="4"/>
      <c r="AU101" s="4"/>
      <c r="AV101" s="4"/>
      <c r="AW101" s="4"/>
      <c r="AX101" s="4"/>
      <c r="AY101" s="4"/>
      <c r="AZ101" s="4"/>
    </row>
    <row r="102" spans="1:52">
      <c r="A102" s="4">
        <v>1880</v>
      </c>
      <c r="F102" s="76">
        <v>4.7554999999999996</v>
      </c>
      <c r="AL102" s="4"/>
      <c r="AM102" s="4">
        <v>1880</v>
      </c>
      <c r="AN102" s="4"/>
      <c r="AO102" s="4"/>
      <c r="AP102" s="4"/>
      <c r="AQ102" s="4"/>
      <c r="AR102" s="4"/>
      <c r="AS102" s="4"/>
      <c r="AT102" s="4"/>
      <c r="AU102" s="4"/>
      <c r="AV102" s="4"/>
      <c r="AW102" s="4"/>
      <c r="AX102" s="4"/>
      <c r="AY102" s="4"/>
      <c r="AZ102" s="4"/>
    </row>
    <row r="103" spans="1:52">
      <c r="A103" s="4">
        <v>1881</v>
      </c>
      <c r="F103" s="76">
        <v>4.7639166666666677</v>
      </c>
      <c r="AL103" s="4"/>
      <c r="AM103" s="4">
        <v>1881</v>
      </c>
      <c r="AN103" s="4"/>
      <c r="AO103" s="4"/>
      <c r="AP103" s="4"/>
      <c r="AQ103" s="4"/>
      <c r="AR103" s="4"/>
      <c r="AS103" s="4"/>
      <c r="AT103" s="4"/>
      <c r="AU103" s="4"/>
      <c r="AV103" s="4"/>
      <c r="AW103" s="4"/>
      <c r="AX103" s="4"/>
      <c r="AY103" s="4"/>
      <c r="AZ103" s="4"/>
    </row>
    <row r="104" spans="1:52">
      <c r="A104" s="4">
        <v>1882</v>
      </c>
      <c r="F104" s="76">
        <v>4.7269166666666669</v>
      </c>
      <c r="AL104" s="4"/>
      <c r="AM104" s="4">
        <v>1882</v>
      </c>
      <c r="AN104" s="4"/>
      <c r="AO104" s="4"/>
      <c r="AP104" s="4"/>
      <c r="AQ104" s="4"/>
      <c r="AR104" s="4"/>
      <c r="AS104" s="4"/>
      <c r="AT104" s="4"/>
      <c r="AU104" s="4"/>
      <c r="AV104" s="4"/>
      <c r="AW104" s="4"/>
      <c r="AX104" s="4"/>
      <c r="AY104" s="4"/>
      <c r="AZ104" s="4"/>
    </row>
    <row r="105" spans="1:52">
      <c r="A105" s="4">
        <v>1883</v>
      </c>
      <c r="F105" s="76">
        <v>4.7593333333333332</v>
      </c>
      <c r="AL105" s="4"/>
      <c r="AM105" s="4">
        <v>1883</v>
      </c>
      <c r="AN105" s="4"/>
      <c r="AO105" s="4"/>
      <c r="AP105" s="4"/>
      <c r="AQ105" s="4"/>
      <c r="AR105" s="4"/>
      <c r="AS105" s="4"/>
      <c r="AT105" s="4"/>
      <c r="AU105" s="4"/>
      <c r="AV105" s="44">
        <v>4.32</v>
      </c>
      <c r="AW105" s="4"/>
      <c r="AX105" s="4"/>
      <c r="AY105" s="4"/>
      <c r="AZ105" s="4"/>
    </row>
    <row r="106" spans="1:52">
      <c r="A106" s="4">
        <v>1884</v>
      </c>
      <c r="F106" s="76">
        <v>5.1110833333333341</v>
      </c>
      <c r="AL106" s="4"/>
      <c r="AM106" s="4">
        <v>1884</v>
      </c>
      <c r="AN106" s="4"/>
      <c r="AO106" s="4"/>
      <c r="AP106" s="4"/>
      <c r="AQ106" s="4"/>
      <c r="AR106" s="4"/>
      <c r="AS106" s="4"/>
      <c r="AT106" s="4"/>
      <c r="AU106" s="4"/>
      <c r="AV106" s="44">
        <v>5.8</v>
      </c>
      <c r="AW106" s="4"/>
      <c r="AX106" s="4"/>
      <c r="AY106" s="4"/>
      <c r="AZ106" s="4"/>
    </row>
    <row r="107" spans="1:52">
      <c r="A107" s="4">
        <v>1885</v>
      </c>
      <c r="F107" s="76">
        <v>5.310083333333333</v>
      </c>
      <c r="AL107" s="4"/>
      <c r="AM107" s="4">
        <v>1885</v>
      </c>
      <c r="AN107" s="4"/>
      <c r="AO107" s="4"/>
      <c r="AP107" s="4"/>
      <c r="AQ107" s="4"/>
      <c r="AR107" s="4"/>
      <c r="AS107" s="4"/>
      <c r="AT107" s="4"/>
      <c r="AU107" s="4"/>
      <c r="AV107" s="44">
        <v>4.37</v>
      </c>
      <c r="AW107" s="4"/>
      <c r="AX107" s="4"/>
      <c r="AY107" s="4"/>
      <c r="AZ107" s="4"/>
    </row>
    <row r="108" spans="1:52">
      <c r="A108" s="4">
        <v>1886</v>
      </c>
      <c r="F108" s="76">
        <v>5.0604166666666668</v>
      </c>
      <c r="AL108" s="4"/>
      <c r="AM108" s="4">
        <v>1886</v>
      </c>
      <c r="AN108" s="4"/>
      <c r="AO108" s="4"/>
      <c r="AP108" s="4"/>
      <c r="AQ108" s="4"/>
      <c r="AR108" s="4"/>
      <c r="AS108" s="4"/>
      <c r="AT108" s="4"/>
      <c r="AU108" s="4"/>
      <c r="AV108" s="44">
        <v>4.84</v>
      </c>
      <c r="AW108" s="4"/>
      <c r="AX108" s="4"/>
      <c r="AY108" s="4"/>
      <c r="AZ108" s="4"/>
    </row>
    <row r="109" spans="1:52">
      <c r="A109" s="4">
        <v>1887</v>
      </c>
      <c r="F109" s="76">
        <v>5.0607499999999987</v>
      </c>
      <c r="AL109" s="4"/>
      <c r="AM109" s="4">
        <v>1887</v>
      </c>
      <c r="AN109" s="4"/>
      <c r="AO109" s="4"/>
      <c r="AP109" s="4"/>
      <c r="AQ109" s="4"/>
      <c r="AR109" s="4"/>
      <c r="AS109" s="4"/>
      <c r="AT109" s="4"/>
      <c r="AU109" s="4"/>
      <c r="AV109" s="44">
        <v>4.84</v>
      </c>
      <c r="AW109" s="4"/>
      <c r="AX109" s="4"/>
      <c r="AY109" s="4"/>
      <c r="AZ109" s="4"/>
    </row>
    <row r="110" spans="1:52">
      <c r="A110" s="4">
        <v>1888</v>
      </c>
      <c r="F110" s="76">
        <v>5.0339166666666664</v>
      </c>
      <c r="AL110" s="4"/>
      <c r="AM110" s="4">
        <v>1888</v>
      </c>
      <c r="AN110" s="4"/>
      <c r="AO110" s="4"/>
      <c r="AP110" s="4"/>
      <c r="AQ110" s="4"/>
      <c r="AR110" s="4"/>
      <c r="AS110" s="4"/>
      <c r="AT110" s="4"/>
      <c r="AU110" s="4"/>
      <c r="AV110" s="44">
        <v>5.65</v>
      </c>
      <c r="AW110" s="4"/>
      <c r="AX110" s="4"/>
      <c r="AY110" s="4"/>
      <c r="AZ110" s="4"/>
    </row>
    <row r="111" spans="1:52">
      <c r="A111" s="4">
        <v>1889</v>
      </c>
      <c r="F111" s="76">
        <v>5.0078333333333322</v>
      </c>
      <c r="AL111" s="4"/>
      <c r="AM111" s="4">
        <v>1889</v>
      </c>
      <c r="AN111" s="4"/>
      <c r="AO111" s="4"/>
      <c r="AP111" s="4"/>
      <c r="AQ111" s="4"/>
      <c r="AR111" s="4"/>
      <c r="AS111" s="4"/>
      <c r="AT111" s="4"/>
      <c r="AU111" s="4"/>
      <c r="AV111" s="44">
        <v>5.41</v>
      </c>
      <c r="AW111" s="4"/>
      <c r="AX111" s="4"/>
      <c r="AY111" s="4"/>
      <c r="AZ111" s="4"/>
    </row>
    <row r="112" spans="1:52">
      <c r="A112" s="4">
        <v>1890</v>
      </c>
      <c r="F112" s="76">
        <v>4.979654382352229</v>
      </c>
      <c r="AL112" s="4"/>
      <c r="AM112" s="4">
        <v>1890</v>
      </c>
      <c r="AN112" s="4"/>
      <c r="AO112" s="4"/>
      <c r="AP112" s="4"/>
      <c r="AQ112" s="4"/>
      <c r="AR112" s="4"/>
      <c r="AS112" s="4"/>
      <c r="AT112" s="4"/>
      <c r="AU112" s="4"/>
      <c r="AV112" s="44">
        <v>5.44</v>
      </c>
      <c r="AW112" s="4"/>
      <c r="AX112" s="4"/>
      <c r="AY112" s="4"/>
      <c r="AZ112" s="4"/>
    </row>
    <row r="113" spans="1:52">
      <c r="A113" s="4">
        <v>1891</v>
      </c>
      <c r="F113" s="76">
        <v>4.95425</v>
      </c>
      <c r="AL113" s="4"/>
      <c r="AM113" s="4">
        <v>1891</v>
      </c>
      <c r="AN113" s="4"/>
      <c r="AO113" s="4"/>
      <c r="AP113" s="4"/>
      <c r="AQ113" s="4"/>
      <c r="AR113" s="4"/>
      <c r="AS113" s="4"/>
      <c r="AT113" s="4"/>
      <c r="AU113" s="4"/>
      <c r="AV113" s="44">
        <v>7.41</v>
      </c>
      <c r="AW113" s="4"/>
      <c r="AX113" s="4"/>
      <c r="AY113" s="4"/>
      <c r="AZ113" s="4"/>
    </row>
    <row r="114" spans="1:52">
      <c r="A114" s="4">
        <v>1892</v>
      </c>
      <c r="F114" s="76">
        <v>5.011000000000001</v>
      </c>
      <c r="AL114" s="4"/>
      <c r="AM114" s="4">
        <v>1892</v>
      </c>
      <c r="AN114" s="4"/>
      <c r="AO114" s="4"/>
      <c r="AP114" s="4"/>
      <c r="AQ114" s="4"/>
      <c r="AR114" s="4"/>
      <c r="AS114" s="4"/>
      <c r="AT114" s="4"/>
      <c r="AU114" s="4"/>
      <c r="AV114" s="44">
        <v>6.95</v>
      </c>
      <c r="AW114" s="4"/>
      <c r="AX114" s="4"/>
      <c r="AY114" s="4"/>
      <c r="AZ114" s="4"/>
    </row>
    <row r="115" spans="1:52">
      <c r="A115" s="4">
        <v>1893</v>
      </c>
      <c r="F115" s="76">
        <v>5.0289166666666656</v>
      </c>
      <c r="AL115" s="4"/>
      <c r="AM115" s="4">
        <v>1893</v>
      </c>
      <c r="AN115" s="4"/>
      <c r="AO115" s="4"/>
      <c r="AP115" s="4"/>
      <c r="AQ115" s="4"/>
      <c r="AR115" s="4"/>
      <c r="AS115" s="4"/>
      <c r="AT115" s="4"/>
      <c r="AU115" s="4"/>
      <c r="AV115" s="44">
        <v>8.7100000000000009</v>
      </c>
      <c r="AW115" s="4"/>
      <c r="AX115" s="4"/>
      <c r="AY115" s="4"/>
      <c r="AZ115" s="4"/>
    </row>
    <row r="116" spans="1:52">
      <c r="A116" s="4">
        <v>1894</v>
      </c>
      <c r="F116" s="76">
        <v>4.9983333333333331</v>
      </c>
      <c r="AL116" s="4"/>
      <c r="AM116" s="4">
        <v>1894</v>
      </c>
      <c r="AN116" s="4"/>
      <c r="AO116" s="4"/>
      <c r="AP116" s="4"/>
      <c r="AQ116" s="4"/>
      <c r="AR116" s="4"/>
      <c r="AS116" s="4"/>
      <c r="AT116" s="4"/>
      <c r="AU116" s="4"/>
      <c r="AV116" s="44">
        <v>9.5299999999999994</v>
      </c>
      <c r="AW116" s="4"/>
      <c r="AX116" s="4"/>
      <c r="AY116" s="4"/>
      <c r="AZ116" s="4"/>
    </row>
    <row r="117" spans="1:52">
      <c r="A117" s="4">
        <v>1895</v>
      </c>
      <c r="F117" s="76">
        <v>5.0057499999999999</v>
      </c>
      <c r="AL117" s="4"/>
      <c r="AM117" s="4">
        <v>1895</v>
      </c>
      <c r="AN117" s="4"/>
      <c r="AO117" s="4"/>
      <c r="AP117" s="4"/>
      <c r="AQ117" s="4"/>
      <c r="AR117" s="4"/>
      <c r="AS117" s="4"/>
      <c r="AT117" s="4"/>
      <c r="AU117" s="4"/>
      <c r="AV117" s="44">
        <v>9.74</v>
      </c>
      <c r="AW117" s="4"/>
      <c r="AX117" s="4"/>
      <c r="AY117" s="4"/>
      <c r="AZ117" s="4"/>
    </row>
    <row r="118" spans="1:52">
      <c r="A118" s="4">
        <v>1896</v>
      </c>
      <c r="F118" s="76">
        <v>5.0213333333333328</v>
      </c>
      <c r="AL118" s="4"/>
      <c r="AM118" s="4">
        <v>1896</v>
      </c>
      <c r="AN118" s="4"/>
      <c r="AO118" s="4"/>
      <c r="AP118" s="4"/>
      <c r="AQ118" s="4"/>
      <c r="AR118" s="4"/>
      <c r="AS118" s="4"/>
      <c r="AT118" s="4"/>
      <c r="AU118" s="4"/>
      <c r="AV118" s="64">
        <v>9.01</v>
      </c>
      <c r="AW118" s="4"/>
      <c r="AX118" s="4"/>
      <c r="AY118" s="4"/>
      <c r="AZ118" s="4"/>
    </row>
    <row r="119" spans="1:52">
      <c r="A119" s="4">
        <v>1897</v>
      </c>
      <c r="F119" s="76">
        <v>5.0556666666666672</v>
      </c>
      <c r="AL119" s="4"/>
      <c r="AM119" s="4">
        <v>1897</v>
      </c>
      <c r="AN119" s="4"/>
      <c r="AO119" s="4"/>
      <c r="AP119" s="4"/>
      <c r="AQ119" s="4"/>
      <c r="AR119" s="4"/>
      <c r="AS119" s="4"/>
      <c r="AT119" s="4"/>
      <c r="AU119" s="4"/>
      <c r="AV119" s="64">
        <v>10.36</v>
      </c>
      <c r="AW119" s="4"/>
      <c r="AX119" s="4"/>
      <c r="AY119" s="4"/>
      <c r="AZ119" s="4"/>
    </row>
    <row r="120" spans="1:52">
      <c r="A120" s="4">
        <v>1898</v>
      </c>
      <c r="F120" s="76">
        <v>5.0192499999999987</v>
      </c>
      <c r="AL120" s="4"/>
      <c r="AM120" s="4">
        <v>1898</v>
      </c>
      <c r="AN120" s="4"/>
      <c r="AO120" s="4"/>
      <c r="AP120" s="4"/>
      <c r="AQ120" s="4"/>
      <c r="AR120" s="4"/>
      <c r="AS120" s="4"/>
      <c r="AT120" s="4"/>
      <c r="AU120" s="4"/>
      <c r="AV120" s="64">
        <v>9.1300000000000008</v>
      </c>
      <c r="AW120" s="4"/>
      <c r="AX120" s="4"/>
      <c r="AY120" s="4"/>
      <c r="AZ120" s="4"/>
    </row>
    <row r="121" spans="1:52">
      <c r="A121" s="4">
        <v>1899</v>
      </c>
      <c r="F121" s="76">
        <v>4.9721666666666673</v>
      </c>
      <c r="AL121" s="4"/>
      <c r="AM121" s="4">
        <v>1899</v>
      </c>
      <c r="AN121" s="4"/>
      <c r="AO121" s="4"/>
      <c r="AP121" s="4"/>
      <c r="AQ121" s="4"/>
      <c r="AR121" s="4"/>
      <c r="AS121" s="4"/>
      <c r="AT121" s="4"/>
      <c r="AU121" s="4"/>
      <c r="AV121" s="64">
        <v>9.43</v>
      </c>
      <c r="AW121" s="4"/>
      <c r="AX121" s="4"/>
      <c r="AY121" s="4"/>
      <c r="AZ121" s="4"/>
    </row>
    <row r="122" spans="1:52">
      <c r="A122" s="4">
        <v>1900</v>
      </c>
      <c r="F122" s="76">
        <v>5.0040833333333321</v>
      </c>
      <c r="AL122" s="4"/>
      <c r="AM122" s="4">
        <v>1900</v>
      </c>
      <c r="AN122" s="4"/>
      <c r="AO122" s="4"/>
      <c r="AP122" s="4"/>
      <c r="AQ122" s="4"/>
      <c r="AR122" s="4"/>
      <c r="AS122" s="4"/>
      <c r="AT122" s="4"/>
      <c r="AU122" s="4"/>
      <c r="AV122" s="64">
        <v>10.88</v>
      </c>
      <c r="AW122" s="4"/>
      <c r="AX122" s="4"/>
      <c r="AY122" s="4"/>
      <c r="AZ122" s="4"/>
    </row>
    <row r="123" spans="1:52">
      <c r="A123" s="4">
        <v>1901</v>
      </c>
      <c r="F123" s="76">
        <v>4.9905833333333334</v>
      </c>
      <c r="AL123" s="4"/>
      <c r="AM123" s="4">
        <v>1901</v>
      </c>
      <c r="AN123" s="4"/>
      <c r="AO123" s="4"/>
      <c r="AP123" s="4"/>
      <c r="AQ123" s="4"/>
      <c r="AR123" s="4"/>
      <c r="AS123" s="4"/>
      <c r="AT123" s="4"/>
      <c r="AU123" s="4"/>
      <c r="AV123" s="64">
        <v>13.36</v>
      </c>
      <c r="AW123" s="4"/>
      <c r="AX123" s="4"/>
      <c r="AY123" s="4"/>
      <c r="AZ123" s="4"/>
    </row>
    <row r="124" spans="1:52">
      <c r="A124" s="4">
        <v>1902</v>
      </c>
      <c r="F124" s="76">
        <v>4.9955833333333342</v>
      </c>
      <c r="AL124" s="4"/>
      <c r="AM124" s="4">
        <v>1902</v>
      </c>
      <c r="AN124" s="4"/>
      <c r="AO124" s="4"/>
      <c r="AP124" s="4"/>
      <c r="AQ124" s="4"/>
      <c r="AR124" s="4"/>
      <c r="AS124" s="4"/>
      <c r="AT124" s="4"/>
      <c r="AU124" s="4"/>
      <c r="AV124" s="4"/>
      <c r="AW124" s="4"/>
      <c r="AX124" s="4"/>
      <c r="AY124" s="4"/>
      <c r="AZ124" s="4"/>
    </row>
    <row r="125" spans="1:52">
      <c r="A125" s="4">
        <v>1903</v>
      </c>
      <c r="F125" s="76">
        <v>4.9774166666666675</v>
      </c>
      <c r="AL125" s="4"/>
      <c r="AM125" s="4">
        <v>1903</v>
      </c>
      <c r="AN125" s="4"/>
      <c r="AO125" s="4"/>
      <c r="AP125" s="4"/>
      <c r="AQ125" s="4"/>
      <c r="AR125" s="4"/>
      <c r="AS125" s="4"/>
      <c r="AT125" s="4"/>
      <c r="AU125" s="4"/>
      <c r="AV125" s="4"/>
      <c r="AW125" s="4"/>
      <c r="AX125" s="4"/>
      <c r="AY125" s="4"/>
      <c r="AZ125" s="4"/>
    </row>
    <row r="126" spans="1:52">
      <c r="A126" s="4">
        <v>1904</v>
      </c>
      <c r="F126" s="76">
        <v>4.9850833333333338</v>
      </c>
      <c r="AL126" s="4"/>
      <c r="AM126" s="4">
        <v>1904</v>
      </c>
      <c r="AN126" s="4"/>
      <c r="AO126" s="4"/>
      <c r="AP126" s="4"/>
      <c r="AQ126" s="4"/>
      <c r="AR126" s="4"/>
      <c r="AS126" s="4"/>
      <c r="AT126" s="4"/>
      <c r="AU126" s="4"/>
      <c r="AV126" s="4"/>
      <c r="AW126" s="4"/>
      <c r="AX126" s="4"/>
      <c r="AY126" s="4"/>
      <c r="AZ126" s="4"/>
    </row>
    <row r="127" spans="1:52">
      <c r="A127" s="4">
        <v>1905</v>
      </c>
      <c r="F127" s="76">
        <v>4.9797499999999992</v>
      </c>
      <c r="AL127" s="4"/>
      <c r="AM127" s="4">
        <v>1905</v>
      </c>
      <c r="AN127" s="4"/>
      <c r="AO127" s="4"/>
      <c r="AP127" s="4"/>
      <c r="AQ127" s="4"/>
      <c r="AR127" s="4"/>
      <c r="AS127" s="4"/>
      <c r="AT127" s="4"/>
      <c r="AU127" s="4"/>
      <c r="AV127" s="4"/>
      <c r="AW127" s="4"/>
      <c r="AX127" s="4"/>
      <c r="AY127" s="4"/>
      <c r="AZ127" s="4"/>
    </row>
    <row r="128" spans="1:52">
      <c r="A128" s="4">
        <v>1906</v>
      </c>
      <c r="F128" s="76">
        <v>4.988833333333333</v>
      </c>
      <c r="AL128" s="4"/>
      <c r="AM128" s="4">
        <v>1906</v>
      </c>
      <c r="AN128" s="4"/>
      <c r="AO128" s="4"/>
      <c r="AP128" s="4"/>
      <c r="AQ128" s="4"/>
      <c r="AR128" s="4"/>
      <c r="AS128" s="4"/>
      <c r="AT128" s="4"/>
      <c r="AU128" s="4"/>
      <c r="AV128" s="4"/>
      <c r="AW128" s="4"/>
      <c r="AX128" s="4"/>
      <c r="AY128" s="4"/>
      <c r="AZ128" s="4"/>
    </row>
    <row r="129" spans="1:52">
      <c r="A129" s="4">
        <v>1907</v>
      </c>
      <c r="F129" s="76">
        <v>4.9664999999999999</v>
      </c>
      <c r="AL129" s="4"/>
      <c r="AM129" s="4">
        <v>1907</v>
      </c>
      <c r="AN129" s="4"/>
      <c r="AO129" s="4"/>
      <c r="AP129" s="4"/>
      <c r="AQ129" s="4"/>
      <c r="AR129" s="4"/>
      <c r="AS129" s="4"/>
      <c r="AT129" s="4"/>
      <c r="AU129" s="4"/>
      <c r="AV129" s="4"/>
      <c r="AW129" s="4"/>
      <c r="AX129" s="4"/>
      <c r="AY129" s="4"/>
      <c r="AZ129" s="4"/>
    </row>
    <row r="130" spans="1:52">
      <c r="A130" s="4">
        <v>1908</v>
      </c>
      <c r="F130" s="76">
        <v>4.9824166666666665</v>
      </c>
      <c r="AL130" s="4"/>
      <c r="AM130" s="4">
        <v>1908</v>
      </c>
      <c r="AN130" s="4"/>
      <c r="AO130" s="4"/>
      <c r="AP130" s="4"/>
      <c r="AQ130" s="4"/>
      <c r="AR130" s="4"/>
      <c r="AS130" s="4"/>
      <c r="AT130" s="4"/>
      <c r="AU130" s="4"/>
      <c r="AV130" s="4"/>
      <c r="AW130" s="4"/>
      <c r="AX130" s="4"/>
      <c r="AY130" s="4"/>
      <c r="AZ130" s="4"/>
    </row>
    <row r="131" spans="1:52">
      <c r="A131" s="4">
        <v>1909</v>
      </c>
      <c r="F131" s="76">
        <v>4.9970833333333333</v>
      </c>
      <c r="AL131" s="4"/>
      <c r="AM131" s="4">
        <v>1909</v>
      </c>
      <c r="AN131" s="4"/>
      <c r="AO131" s="4"/>
      <c r="AP131" s="4"/>
      <c r="AQ131" s="4"/>
      <c r="AR131" s="4"/>
      <c r="AS131" s="4"/>
      <c r="AT131" s="4"/>
      <c r="AU131" s="4"/>
      <c r="AV131" s="4"/>
      <c r="AW131" s="4"/>
      <c r="AX131" s="4"/>
      <c r="AY131" s="4"/>
      <c r="AZ131" s="4"/>
    </row>
    <row r="132" spans="1:52">
      <c r="A132" s="4">
        <v>1910</v>
      </c>
      <c r="F132" s="76">
        <v>4.9963333333333333</v>
      </c>
      <c r="AL132" s="4"/>
      <c r="AM132" s="4">
        <v>1910</v>
      </c>
      <c r="AN132" s="4"/>
      <c r="AO132" s="4"/>
      <c r="AP132" s="4"/>
      <c r="AQ132" s="4"/>
      <c r="AR132" s="4"/>
      <c r="AS132" s="4"/>
      <c r="AT132" s="4"/>
      <c r="AU132" s="4"/>
      <c r="AV132" s="4"/>
      <c r="AW132" s="4"/>
      <c r="AX132" s="4"/>
      <c r="AY132" s="4"/>
      <c r="AZ132" s="4"/>
    </row>
    <row r="133" spans="1:52">
      <c r="A133" s="4">
        <v>1911</v>
      </c>
      <c r="F133" s="76">
        <v>4.9974999999999996</v>
      </c>
      <c r="AL133" s="51"/>
      <c r="AM133" s="4">
        <v>1911</v>
      </c>
      <c r="AN133" s="4"/>
      <c r="AO133" s="4"/>
      <c r="AP133" s="4"/>
      <c r="AQ133" s="4"/>
      <c r="AR133" s="4"/>
      <c r="AS133" s="4"/>
      <c r="AT133" s="4"/>
      <c r="AU133" s="4"/>
      <c r="AV133" s="4"/>
      <c r="AW133" s="4"/>
      <c r="AX133" s="4"/>
      <c r="AY133" s="4"/>
      <c r="AZ133" s="4"/>
    </row>
    <row r="134" spans="1:52">
      <c r="A134" s="4">
        <v>1912</v>
      </c>
      <c r="F134" s="76">
        <v>4.9834166666666668</v>
      </c>
      <c r="AL134" s="51"/>
      <c r="AM134" s="4">
        <v>1912</v>
      </c>
      <c r="AN134" s="4"/>
      <c r="AO134" s="4"/>
      <c r="AP134" s="4"/>
      <c r="AQ134" s="4"/>
      <c r="AR134" s="4"/>
      <c r="AS134" s="4"/>
      <c r="AT134" s="4"/>
      <c r="AU134" s="4"/>
      <c r="AV134" s="4"/>
      <c r="AW134" s="4"/>
      <c r="AX134" s="4"/>
      <c r="AY134" s="4"/>
      <c r="AZ134" s="4"/>
    </row>
    <row r="135" spans="1:52">
      <c r="A135" s="4">
        <v>1913</v>
      </c>
      <c r="F135" s="76">
        <v>4.9843333333333302</v>
      </c>
      <c r="AL135" s="51"/>
      <c r="AM135" s="4">
        <v>1913</v>
      </c>
      <c r="AN135" s="4"/>
      <c r="AO135" s="4"/>
      <c r="AP135" s="4"/>
      <c r="AQ135" s="4"/>
      <c r="AR135" s="4"/>
      <c r="AS135" s="4"/>
      <c r="AT135" s="4"/>
      <c r="AU135" s="4"/>
      <c r="AV135" s="4"/>
      <c r="AW135" s="4"/>
      <c r="AX135" s="4">
        <f t="shared" ref="AX135:AX160" si="1">AY135/AZ135</f>
        <v>5.0660792951541849</v>
      </c>
      <c r="AY135" s="51">
        <v>11.5</v>
      </c>
      <c r="AZ135" s="4">
        <v>2.27</v>
      </c>
    </row>
    <row r="136" spans="1:52">
      <c r="A136" s="4">
        <v>1914</v>
      </c>
      <c r="F136" s="76">
        <v>4.9630000000000001</v>
      </c>
      <c r="AL136" s="4"/>
      <c r="AM136" s="4">
        <v>1914</v>
      </c>
      <c r="AN136" s="4"/>
      <c r="AO136" s="4"/>
      <c r="AP136" s="4"/>
      <c r="AQ136" s="4"/>
      <c r="AR136" s="4"/>
      <c r="AS136" s="4"/>
      <c r="AT136" s="4"/>
      <c r="AU136" s="4"/>
      <c r="AV136" s="4"/>
      <c r="AW136" s="4"/>
      <c r="AX136" s="4">
        <f t="shared" si="1"/>
        <v>5.1101321585903081</v>
      </c>
      <c r="AY136" s="51">
        <v>11.6</v>
      </c>
      <c r="AZ136" s="4">
        <v>2.27</v>
      </c>
    </row>
    <row r="137" spans="1:52">
      <c r="A137" s="4">
        <v>1915</v>
      </c>
      <c r="F137" s="76">
        <v>4.9720000000000004</v>
      </c>
      <c r="AL137" s="51"/>
      <c r="AM137" s="4">
        <v>1915</v>
      </c>
      <c r="AN137" s="4"/>
      <c r="AO137" s="4"/>
      <c r="AP137" s="4"/>
      <c r="AQ137" s="4"/>
      <c r="AR137" s="4"/>
      <c r="AS137" s="4"/>
      <c r="AT137" s="4"/>
      <c r="AU137" s="4"/>
      <c r="AV137" s="4"/>
      <c r="AW137" s="4"/>
      <c r="AX137" s="4">
        <f t="shared" si="1"/>
        <v>5.0220264317180616</v>
      </c>
      <c r="AY137" s="51">
        <v>11.4</v>
      </c>
      <c r="AZ137" s="4">
        <v>2.27</v>
      </c>
    </row>
    <row r="138" spans="1:52">
      <c r="A138" s="4">
        <v>1916</v>
      </c>
      <c r="F138" s="76">
        <v>4.7110000000000003</v>
      </c>
      <c r="AL138" s="51"/>
      <c r="AM138" s="4">
        <v>1916</v>
      </c>
      <c r="AN138" s="4"/>
      <c r="AO138" s="4"/>
      <c r="AP138" s="4"/>
      <c r="AQ138" s="4"/>
      <c r="AR138" s="4"/>
      <c r="AS138" s="4"/>
      <c r="AT138" s="4"/>
      <c r="AU138" s="4"/>
      <c r="AV138" s="4"/>
      <c r="AW138" s="4"/>
      <c r="AX138" s="4">
        <f t="shared" si="1"/>
        <v>4.9779735682819384</v>
      </c>
      <c r="AY138" s="51">
        <v>11.3</v>
      </c>
      <c r="AZ138" s="4">
        <v>2.27</v>
      </c>
    </row>
    <row r="139" spans="1:52">
      <c r="A139" s="4">
        <v>1917</v>
      </c>
      <c r="F139" s="76">
        <v>4.8017621145374454</v>
      </c>
      <c r="AL139" s="51"/>
      <c r="AM139" s="4">
        <v>1917</v>
      </c>
      <c r="AN139" s="4"/>
      <c r="AO139" s="4"/>
      <c r="AP139" s="4"/>
      <c r="AQ139" s="4"/>
      <c r="AR139" s="4"/>
      <c r="AS139" s="4"/>
      <c r="AT139" s="4"/>
      <c r="AU139" s="4"/>
      <c r="AV139" s="4"/>
      <c r="AW139" s="4"/>
      <c r="AX139" s="4">
        <f t="shared" si="1"/>
        <v>4.8017621145374454</v>
      </c>
      <c r="AY139" s="51">
        <v>10.9</v>
      </c>
      <c r="AZ139" s="4">
        <v>2.27</v>
      </c>
    </row>
    <row r="140" spans="1:52">
      <c r="A140" s="4">
        <v>1918</v>
      </c>
      <c r="F140" s="76">
        <v>4.713656387665198</v>
      </c>
      <c r="AL140" s="51"/>
      <c r="AM140" s="4">
        <v>1918</v>
      </c>
      <c r="AN140" s="4"/>
      <c r="AO140" s="4"/>
      <c r="AP140" s="4"/>
      <c r="AQ140" s="4"/>
      <c r="AR140" s="4"/>
      <c r="AS140" s="4"/>
      <c r="AT140" s="4"/>
      <c r="AU140" s="4"/>
      <c r="AV140" s="4"/>
      <c r="AW140" s="4"/>
      <c r="AX140" s="4">
        <f t="shared" si="1"/>
        <v>4.713656387665198</v>
      </c>
      <c r="AY140" s="51">
        <v>10.7</v>
      </c>
      <c r="AZ140" s="4">
        <v>2.27</v>
      </c>
    </row>
    <row r="141" spans="1:52">
      <c r="A141" s="4">
        <v>1919</v>
      </c>
      <c r="F141" s="76">
        <v>4.4933920704845809</v>
      </c>
      <c r="AL141" s="51"/>
      <c r="AM141" s="4">
        <v>1919</v>
      </c>
      <c r="AN141" s="4"/>
      <c r="AO141" s="4"/>
      <c r="AP141" s="4"/>
      <c r="AQ141" s="4"/>
      <c r="AR141" s="4"/>
      <c r="AS141" s="4"/>
      <c r="AT141" s="4"/>
      <c r="AU141" s="4"/>
      <c r="AV141" s="4"/>
      <c r="AW141" s="4"/>
      <c r="AX141" s="4">
        <f t="shared" si="1"/>
        <v>4.4933920704845809</v>
      </c>
      <c r="AY141" s="51">
        <v>10.199999999999999</v>
      </c>
      <c r="AZ141" s="4">
        <v>2.27</v>
      </c>
    </row>
    <row r="142" spans="1:52">
      <c r="A142" s="4">
        <v>1920</v>
      </c>
      <c r="F142" s="76">
        <v>4.0969162995594717</v>
      </c>
      <c r="AL142" s="51"/>
      <c r="AM142" s="4">
        <v>1920</v>
      </c>
      <c r="AN142" s="4"/>
      <c r="AO142" s="4"/>
      <c r="AP142" s="4"/>
      <c r="AQ142" s="4"/>
      <c r="AR142" s="4"/>
      <c r="AS142" s="4"/>
      <c r="AT142" s="4"/>
      <c r="AU142" s="4"/>
      <c r="AV142" s="4"/>
      <c r="AW142" s="4"/>
      <c r="AX142" s="4">
        <f t="shared" si="1"/>
        <v>4.0969162995594717</v>
      </c>
      <c r="AY142" s="51">
        <v>9.3000000000000007</v>
      </c>
      <c r="AZ142" s="4">
        <v>2.27</v>
      </c>
    </row>
    <row r="143" spans="1:52">
      <c r="A143" s="4">
        <v>1921</v>
      </c>
      <c r="F143" s="76">
        <v>5.286343612334802</v>
      </c>
      <c r="AL143" s="51"/>
      <c r="AM143" s="4">
        <v>1921</v>
      </c>
      <c r="AN143" s="4"/>
      <c r="AO143" s="4"/>
      <c r="AP143" s="4"/>
      <c r="AQ143" s="4"/>
      <c r="AR143" s="4"/>
      <c r="AS143" s="4"/>
      <c r="AT143" s="4"/>
      <c r="AU143" s="4"/>
      <c r="AV143" s="4"/>
      <c r="AW143" s="4"/>
      <c r="AX143" s="4">
        <f t="shared" si="1"/>
        <v>5.286343612334802</v>
      </c>
      <c r="AY143" s="51">
        <v>12</v>
      </c>
      <c r="AZ143" s="4">
        <v>2.27</v>
      </c>
    </row>
    <row r="144" spans="1:52">
      <c r="A144" s="4">
        <v>1922</v>
      </c>
      <c r="F144" s="76">
        <v>5.4185022026431717</v>
      </c>
      <c r="AL144" s="51"/>
      <c r="AM144" s="4">
        <v>1922</v>
      </c>
      <c r="AN144" s="4"/>
      <c r="AO144" s="4"/>
      <c r="AP144" s="4"/>
      <c r="AQ144" s="4"/>
      <c r="AR144" s="4"/>
      <c r="AS144" s="4"/>
      <c r="AT144" s="4"/>
      <c r="AU144" s="4"/>
      <c r="AV144" s="4"/>
      <c r="AW144" s="4"/>
      <c r="AX144" s="4">
        <f t="shared" si="1"/>
        <v>5.4185022026431717</v>
      </c>
      <c r="AY144" s="51">
        <v>12.3</v>
      </c>
      <c r="AZ144" s="4">
        <v>2.27</v>
      </c>
    </row>
    <row r="145" spans="1:52">
      <c r="A145" s="4">
        <v>1923</v>
      </c>
      <c r="F145" s="76">
        <v>5.859030837004406</v>
      </c>
      <c r="AL145" s="51"/>
      <c r="AM145" s="4">
        <v>1923</v>
      </c>
      <c r="AN145" s="4"/>
      <c r="AO145" s="4"/>
      <c r="AP145" s="4"/>
      <c r="AQ145" s="4"/>
      <c r="AR145" s="4"/>
      <c r="AS145" s="4"/>
      <c r="AT145" s="4"/>
      <c r="AU145" s="4"/>
      <c r="AV145" s="4"/>
      <c r="AW145" s="4"/>
      <c r="AX145" s="4">
        <f t="shared" si="1"/>
        <v>5.859030837004406</v>
      </c>
      <c r="AY145" s="51">
        <v>13.3</v>
      </c>
      <c r="AZ145" s="4">
        <v>2.27</v>
      </c>
    </row>
    <row r="146" spans="1:52">
      <c r="A146" s="4">
        <v>1924</v>
      </c>
      <c r="F146" s="76">
        <v>5.6387665198237888</v>
      </c>
      <c r="AL146" s="51"/>
      <c r="AM146" s="4">
        <v>1924</v>
      </c>
      <c r="AN146" s="4"/>
      <c r="AO146" s="4"/>
      <c r="AP146" s="4"/>
      <c r="AQ146" s="4"/>
      <c r="AR146" s="4"/>
      <c r="AS146" s="4"/>
      <c r="AT146" s="4"/>
      <c r="AU146" s="4"/>
      <c r="AV146" s="4"/>
      <c r="AW146" s="4"/>
      <c r="AX146" s="4">
        <f t="shared" si="1"/>
        <v>5.6387665198237888</v>
      </c>
      <c r="AY146" s="51">
        <v>12.8</v>
      </c>
      <c r="AZ146" s="4">
        <v>2.27</v>
      </c>
    </row>
    <row r="147" spans="1:52">
      <c r="A147" s="4">
        <v>1925</v>
      </c>
      <c r="F147" s="76">
        <v>5.286343612334802</v>
      </c>
      <c r="AL147" s="51"/>
      <c r="AM147" s="4">
        <v>1925</v>
      </c>
      <c r="AN147" s="4"/>
      <c r="AO147" s="4"/>
      <c r="AP147" s="4"/>
      <c r="AQ147" s="4"/>
      <c r="AR147" s="4"/>
      <c r="AS147" s="4"/>
      <c r="AT147" s="4"/>
      <c r="AU147" s="4"/>
      <c r="AV147" s="4"/>
      <c r="AW147" s="4"/>
      <c r="AX147" s="4">
        <f t="shared" si="1"/>
        <v>5.286343612334802</v>
      </c>
      <c r="AY147" s="51">
        <v>12</v>
      </c>
      <c r="AZ147" s="4">
        <v>2.27</v>
      </c>
    </row>
    <row r="148" spans="1:52">
      <c r="A148" s="4">
        <v>1926</v>
      </c>
      <c r="F148" s="76">
        <v>5.286343612334802</v>
      </c>
      <c r="AL148" s="51"/>
      <c r="AM148" s="4">
        <v>1926</v>
      </c>
      <c r="AN148" s="4"/>
      <c r="AO148" s="4"/>
      <c r="AP148" s="4"/>
      <c r="AQ148" s="4"/>
      <c r="AR148" s="4"/>
      <c r="AS148" s="4"/>
      <c r="AT148" s="4"/>
      <c r="AU148" s="4"/>
      <c r="AV148" s="4"/>
      <c r="AW148" s="4"/>
      <c r="AX148" s="4">
        <f t="shared" si="1"/>
        <v>5.286343612334802</v>
      </c>
      <c r="AY148" s="51">
        <v>12</v>
      </c>
      <c r="AZ148" s="4">
        <v>2.27</v>
      </c>
    </row>
    <row r="149" spans="1:52">
      <c r="A149" s="4">
        <v>1927</v>
      </c>
      <c r="F149" s="76">
        <v>5.0660792951541849</v>
      </c>
      <c r="AL149" s="51"/>
      <c r="AM149" s="4">
        <v>1927</v>
      </c>
      <c r="AN149" s="4"/>
      <c r="AO149" s="4"/>
      <c r="AP149" s="4"/>
      <c r="AQ149" s="4"/>
      <c r="AR149" s="4"/>
      <c r="AS149" s="4"/>
      <c r="AT149" s="4"/>
      <c r="AU149" s="4"/>
      <c r="AV149" s="4"/>
      <c r="AW149" s="4"/>
      <c r="AX149" s="4">
        <f t="shared" si="1"/>
        <v>5.0660792951541849</v>
      </c>
      <c r="AY149" s="51">
        <v>11.5</v>
      </c>
      <c r="AZ149" s="4">
        <v>2.27</v>
      </c>
    </row>
    <row r="150" spans="1:52">
      <c r="A150" s="4">
        <v>1928</v>
      </c>
      <c r="F150" s="76">
        <v>5.0660792951541849</v>
      </c>
      <c r="AL150" s="51"/>
      <c r="AM150" s="4">
        <v>1928</v>
      </c>
      <c r="AN150" s="4"/>
      <c r="AO150" s="4"/>
      <c r="AP150" s="4"/>
      <c r="AQ150" s="4"/>
      <c r="AR150" s="4"/>
      <c r="AS150" s="4"/>
      <c r="AT150" s="4"/>
      <c r="AU150" s="4"/>
      <c r="AV150" s="4"/>
      <c r="AW150" s="4"/>
      <c r="AX150" s="4">
        <f t="shared" si="1"/>
        <v>5.0660792951541849</v>
      </c>
      <c r="AY150" s="51">
        <v>11.5</v>
      </c>
      <c r="AZ150" s="4">
        <v>2.27</v>
      </c>
    </row>
    <row r="151" spans="1:52">
      <c r="A151" s="4">
        <v>1929</v>
      </c>
      <c r="F151" s="76">
        <v>5.1101321585903081</v>
      </c>
      <c r="AL151" s="51"/>
      <c r="AM151" s="4">
        <v>1929</v>
      </c>
      <c r="AN151" s="4"/>
      <c r="AO151" s="4"/>
      <c r="AP151" s="4"/>
      <c r="AQ151" s="4"/>
      <c r="AR151" s="4"/>
      <c r="AS151" s="4"/>
      <c r="AT151" s="4"/>
      <c r="AU151" s="4"/>
      <c r="AV151" s="4"/>
      <c r="AW151" s="4"/>
      <c r="AX151" s="4">
        <f t="shared" si="1"/>
        <v>5.1101321585903081</v>
      </c>
      <c r="AY151" s="51">
        <v>11.6</v>
      </c>
      <c r="AZ151" s="4">
        <v>2.27</v>
      </c>
    </row>
    <row r="152" spans="1:52">
      <c r="A152" s="4">
        <v>1930</v>
      </c>
      <c r="F152" s="76">
        <v>5.859030837004406</v>
      </c>
      <c r="AL152" s="51"/>
      <c r="AM152" s="4">
        <v>1930</v>
      </c>
      <c r="AN152" s="4"/>
      <c r="AO152" s="4"/>
      <c r="AP152" s="4"/>
      <c r="AQ152" s="4"/>
      <c r="AR152" s="4"/>
      <c r="AS152" s="4"/>
      <c r="AT152" s="4"/>
      <c r="AU152" s="4"/>
      <c r="AV152" s="4"/>
      <c r="AW152" s="4"/>
      <c r="AX152" s="4">
        <f t="shared" si="1"/>
        <v>5.859030837004406</v>
      </c>
      <c r="AY152" s="51">
        <v>13.3</v>
      </c>
      <c r="AZ152" s="4">
        <v>2.27</v>
      </c>
    </row>
    <row r="153" spans="1:52">
      <c r="A153" s="4">
        <v>1931</v>
      </c>
      <c r="F153" s="76">
        <v>6.8281938325991192</v>
      </c>
      <c r="AL153" s="51"/>
      <c r="AM153" s="4">
        <v>1931</v>
      </c>
      <c r="AN153" s="4"/>
      <c r="AO153" s="4"/>
      <c r="AP153" s="4"/>
      <c r="AQ153" s="4"/>
      <c r="AR153" s="4"/>
      <c r="AS153" s="4"/>
      <c r="AT153" s="4"/>
      <c r="AU153" s="4"/>
      <c r="AV153" s="4"/>
      <c r="AW153" s="4"/>
      <c r="AX153" s="4">
        <f t="shared" si="1"/>
        <v>6.8281938325991192</v>
      </c>
      <c r="AY153" s="51">
        <v>15.5</v>
      </c>
      <c r="AZ153" s="4">
        <v>2.27</v>
      </c>
    </row>
    <row r="154" spans="1:52">
      <c r="A154" s="4">
        <v>1932</v>
      </c>
      <c r="F154" s="76">
        <v>6.0352422907488981</v>
      </c>
      <c r="AL154" s="51"/>
      <c r="AM154" s="4">
        <v>1932</v>
      </c>
      <c r="AN154" s="4"/>
      <c r="AO154" s="4"/>
      <c r="AP154" s="4"/>
      <c r="AQ154" s="4"/>
      <c r="AR154" s="4"/>
      <c r="AS154" s="4"/>
      <c r="AT154" s="4"/>
      <c r="AU154" s="4"/>
      <c r="AV154" s="4"/>
      <c r="AW154" s="4"/>
      <c r="AX154" s="4">
        <f t="shared" si="1"/>
        <v>6.0352422907488981</v>
      </c>
      <c r="AY154" s="51">
        <v>13.7</v>
      </c>
      <c r="AZ154" s="4">
        <v>2.27</v>
      </c>
    </row>
    <row r="155" spans="1:52">
      <c r="A155" s="4">
        <v>1933</v>
      </c>
      <c r="F155" s="76">
        <v>5.9030837004405283</v>
      </c>
      <c r="AL155" s="51"/>
      <c r="AM155" s="4">
        <v>1933</v>
      </c>
      <c r="AN155" s="4"/>
      <c r="AO155" s="4"/>
      <c r="AP155" s="4"/>
      <c r="AQ155" s="4"/>
      <c r="AR155" s="4"/>
      <c r="AS155" s="4"/>
      <c r="AT155" s="4"/>
      <c r="AU155" s="4"/>
      <c r="AV155" s="4"/>
      <c r="AW155" s="4"/>
      <c r="AX155" s="4">
        <f t="shared" si="1"/>
        <v>5.9030837004405283</v>
      </c>
      <c r="AY155" s="51">
        <v>13.4</v>
      </c>
      <c r="AZ155" s="4">
        <v>2.27</v>
      </c>
    </row>
    <row r="156" spans="1:52">
      <c r="A156" s="4">
        <v>1934</v>
      </c>
      <c r="F156" s="76">
        <v>6.8281938325991192</v>
      </c>
      <c r="AL156" s="51"/>
      <c r="AM156" s="4">
        <v>1934</v>
      </c>
      <c r="AN156" s="4"/>
      <c r="AO156" s="4"/>
      <c r="AP156" s="4"/>
      <c r="AQ156" s="4"/>
      <c r="AR156" s="4"/>
      <c r="AS156" s="4"/>
      <c r="AT156" s="4"/>
      <c r="AU156" s="4"/>
      <c r="AV156" s="4"/>
      <c r="AW156" s="4"/>
      <c r="AX156" s="4">
        <f t="shared" si="1"/>
        <v>6.8281938325991192</v>
      </c>
      <c r="AY156" s="51">
        <v>15.5</v>
      </c>
      <c r="AZ156" s="4">
        <v>2.27</v>
      </c>
    </row>
    <row r="157" spans="1:52">
      <c r="A157" s="4">
        <v>1935</v>
      </c>
      <c r="F157" s="76">
        <v>6.8281938325991192</v>
      </c>
      <c r="AL157" s="51"/>
      <c r="AM157" s="4">
        <v>1935</v>
      </c>
      <c r="AN157" s="4"/>
      <c r="AO157" s="4"/>
      <c r="AP157" s="4"/>
      <c r="AQ157" s="4"/>
      <c r="AR157" s="4"/>
      <c r="AS157" s="4"/>
      <c r="AT157" s="4"/>
      <c r="AU157" s="4"/>
      <c r="AV157" s="4"/>
      <c r="AW157" s="4"/>
      <c r="AX157" s="4">
        <f t="shared" si="1"/>
        <v>6.8281938325991192</v>
      </c>
      <c r="AY157" s="51">
        <v>15.5</v>
      </c>
      <c r="AZ157" s="4">
        <v>2.27</v>
      </c>
    </row>
    <row r="158" spans="1:52">
      <c r="A158" s="4">
        <v>1936</v>
      </c>
      <c r="F158" s="76">
        <v>6.7841409691629959</v>
      </c>
      <c r="AL158" s="51"/>
      <c r="AM158" s="4">
        <v>1936</v>
      </c>
      <c r="AN158" s="4"/>
      <c r="AO158" s="4"/>
      <c r="AP158" s="4"/>
      <c r="AQ158" s="4"/>
      <c r="AR158" s="4"/>
      <c r="AS158" s="4"/>
      <c r="AT158" s="4"/>
      <c r="AU158" s="4"/>
      <c r="AV158" s="4"/>
      <c r="AW158" s="4"/>
      <c r="AX158" s="4">
        <f t="shared" si="1"/>
        <v>6.7841409691629959</v>
      </c>
      <c r="AY158" s="51">
        <v>15.4</v>
      </c>
      <c r="AZ158" s="4">
        <v>2.27</v>
      </c>
    </row>
    <row r="159" spans="1:52">
      <c r="A159" s="4">
        <v>1937</v>
      </c>
      <c r="F159" s="76">
        <v>6.6960352422907485</v>
      </c>
      <c r="AL159" s="51"/>
      <c r="AM159" s="4">
        <v>1937</v>
      </c>
      <c r="AN159" s="4"/>
      <c r="AO159" s="4"/>
      <c r="AP159" s="4"/>
      <c r="AQ159" s="4"/>
      <c r="AR159" s="4"/>
      <c r="AS159" s="4"/>
      <c r="AT159" s="4"/>
      <c r="AU159" s="4"/>
      <c r="AV159" s="4"/>
      <c r="AW159" s="4"/>
      <c r="AX159" s="4">
        <f t="shared" si="1"/>
        <v>6.6960352422907485</v>
      </c>
      <c r="AY159" s="51">
        <v>15.2</v>
      </c>
      <c r="AZ159" s="4">
        <v>2.27</v>
      </c>
    </row>
    <row r="160" spans="1:52">
      <c r="A160" s="4">
        <v>1938</v>
      </c>
      <c r="F160" s="76">
        <v>6.8722466960352424</v>
      </c>
      <c r="AL160" s="51"/>
      <c r="AM160" s="4">
        <v>1938</v>
      </c>
      <c r="AN160" s="4"/>
      <c r="AO160" s="4"/>
      <c r="AP160" s="4"/>
      <c r="AQ160" s="4"/>
      <c r="AR160" s="4"/>
      <c r="AS160" s="4"/>
      <c r="AT160" s="4"/>
      <c r="AU160" s="4"/>
      <c r="AV160" s="4"/>
      <c r="AW160" s="4"/>
      <c r="AX160" s="4">
        <f t="shared" si="1"/>
        <v>6.8722466960352424</v>
      </c>
      <c r="AY160" s="51">
        <v>15.6</v>
      </c>
      <c r="AZ160" s="4">
        <v>2.27</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A163"/>
  <sheetViews>
    <sheetView workbookViewId="0">
      <pane xSplit="1" ySplit="4" topLeftCell="B5" activePane="bottomRight" state="frozen"/>
      <selection pane="topRight" activeCell="B1" sqref="B1"/>
      <selection pane="bottomLeft" activeCell="A2" sqref="A2"/>
      <selection pane="bottomRight" activeCell="D2" sqref="D2"/>
    </sheetView>
  </sheetViews>
  <sheetFormatPr baseColWidth="10" defaultRowHeight="15"/>
  <cols>
    <col min="1" max="16384" width="10.7109375" style="4"/>
  </cols>
  <sheetData>
    <row r="1" spans="1:209" s="14" customFormat="1">
      <c r="B1" s="80" t="s">
        <v>310</v>
      </c>
      <c r="C1" s="80"/>
      <c r="J1" s="81"/>
      <c r="K1" s="81"/>
      <c r="L1" s="81"/>
      <c r="M1" s="81"/>
      <c r="N1" s="81"/>
      <c r="O1" s="81"/>
      <c r="P1" s="81"/>
      <c r="Q1" s="81"/>
      <c r="R1" s="81"/>
      <c r="S1" s="81"/>
      <c r="T1" s="81"/>
      <c r="U1" s="81"/>
      <c r="V1" s="81"/>
      <c r="W1" s="81"/>
      <c r="X1" s="81"/>
      <c r="Y1" s="81"/>
      <c r="Z1" s="81"/>
      <c r="AA1" s="81"/>
      <c r="AB1" s="81"/>
      <c r="AC1" s="81"/>
      <c r="AD1" s="81"/>
      <c r="AE1" s="81"/>
      <c r="AJ1" s="82"/>
      <c r="AK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row>
    <row r="2" spans="1:209" s="14" customFormat="1">
      <c r="D2" s="80" t="s">
        <v>88</v>
      </c>
      <c r="K2" s="80" t="s">
        <v>204</v>
      </c>
      <c r="L2" s="81"/>
      <c r="M2" s="81"/>
      <c r="N2" s="81"/>
      <c r="O2" s="81"/>
      <c r="P2" s="81"/>
      <c r="Q2" s="81"/>
      <c r="R2" s="81"/>
      <c r="S2" s="81"/>
      <c r="T2" s="81"/>
      <c r="U2" s="81"/>
      <c r="V2" s="81"/>
      <c r="W2" s="81"/>
      <c r="X2" s="81"/>
      <c r="Y2" s="81"/>
      <c r="Z2" s="81"/>
      <c r="AA2" s="81"/>
      <c r="AB2" s="81"/>
      <c r="AC2" s="81"/>
      <c r="AD2" s="81"/>
      <c r="AE2" s="81"/>
      <c r="AJ2" s="82"/>
      <c r="AK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1:209" s="14" customFormat="1">
      <c r="D3" s="14" t="s">
        <v>311</v>
      </c>
      <c r="E3" s="14" t="s">
        <v>312</v>
      </c>
      <c r="F3" s="14" t="s">
        <v>120</v>
      </c>
      <c r="G3" s="14" t="s">
        <v>121</v>
      </c>
      <c r="H3" s="14" t="s">
        <v>17</v>
      </c>
      <c r="I3" s="14" t="s">
        <v>18</v>
      </c>
      <c r="K3" s="14" t="s">
        <v>311</v>
      </c>
      <c r="L3" s="81"/>
      <c r="M3" s="81"/>
      <c r="N3" s="81"/>
      <c r="O3" s="14" t="s">
        <v>312</v>
      </c>
      <c r="P3" s="81"/>
      <c r="Q3" s="14" t="s">
        <v>120</v>
      </c>
      <c r="T3" s="14" t="s">
        <v>121</v>
      </c>
      <c r="X3" s="81"/>
      <c r="Y3" s="81"/>
      <c r="Z3" s="81"/>
      <c r="AA3" s="81"/>
      <c r="AB3" s="81"/>
      <c r="AC3" s="81"/>
      <c r="AD3" s="81"/>
      <c r="AE3" s="81"/>
      <c r="AJ3" s="82"/>
      <c r="AK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row>
    <row r="4" spans="1:209" s="14" customFormat="1">
      <c r="J4" s="81"/>
      <c r="K4" s="81" t="s">
        <v>19</v>
      </c>
      <c r="L4" s="81" t="s">
        <v>20</v>
      </c>
      <c r="M4" s="81" t="s">
        <v>21</v>
      </c>
      <c r="N4" s="81" t="s">
        <v>22</v>
      </c>
      <c r="O4" s="81" t="s">
        <v>23</v>
      </c>
      <c r="P4" s="81" t="s">
        <v>24</v>
      </c>
      <c r="Q4" s="81" t="s">
        <v>25</v>
      </c>
      <c r="R4" s="81" t="s">
        <v>26</v>
      </c>
      <c r="S4" s="81" t="s">
        <v>27</v>
      </c>
      <c r="T4" s="81" t="s">
        <v>147</v>
      </c>
      <c r="U4" s="81" t="s">
        <v>148</v>
      </c>
      <c r="V4" s="81"/>
      <c r="W4" s="81"/>
      <c r="X4" s="81"/>
      <c r="Y4" s="81"/>
      <c r="Z4" s="81"/>
      <c r="AA4" s="81"/>
      <c r="AB4" s="81"/>
      <c r="AC4" s="81"/>
      <c r="AD4" s="81"/>
      <c r="AE4" s="81"/>
      <c r="AJ4" s="82"/>
      <c r="AK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row>
    <row r="5" spans="1:209">
      <c r="A5" s="4">
        <v>1780</v>
      </c>
      <c r="B5" s="35">
        <f t="shared" ref="B5:B49" si="0">(D5/D$50)*B$50</f>
        <v>321.98758480201178</v>
      </c>
      <c r="C5" s="75"/>
      <c r="D5" s="32">
        <f>K5</f>
        <v>394.55461429164518</v>
      </c>
      <c r="E5" s="32"/>
      <c r="F5" s="32"/>
      <c r="G5" s="32"/>
      <c r="H5" s="32"/>
      <c r="I5" s="32"/>
      <c r="J5" s="32"/>
      <c r="K5" s="32">
        <f>'Pm indices'!B4</f>
        <v>394.55461429164518</v>
      </c>
      <c r="L5" s="32"/>
      <c r="M5" s="32"/>
      <c r="N5" s="32"/>
      <c r="O5" s="32"/>
      <c r="P5" s="32"/>
      <c r="Q5" s="32"/>
      <c r="R5" s="32"/>
      <c r="S5" s="32"/>
      <c r="T5" s="32"/>
      <c r="U5" s="32"/>
      <c r="V5" s="32"/>
      <c r="W5" s="32"/>
      <c r="X5" s="32"/>
      <c r="Y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row>
    <row r="6" spans="1:209">
      <c r="A6" s="4">
        <v>1781</v>
      </c>
      <c r="B6" s="35">
        <f t="shared" si="0"/>
        <v>317.72067491166911</v>
      </c>
      <c r="C6" s="75"/>
      <c r="D6" s="32">
        <f t="shared" ref="D6:D15" si="1">K6</f>
        <v>389.32606180867742</v>
      </c>
      <c r="E6" s="32"/>
      <c r="F6" s="32"/>
      <c r="G6" s="32"/>
      <c r="H6" s="32"/>
      <c r="I6" s="32"/>
      <c r="J6" s="32"/>
      <c r="K6" s="32">
        <f>'Pm indices'!B5</f>
        <v>389.32606180867742</v>
      </c>
      <c r="L6" s="32"/>
      <c r="M6" s="32"/>
      <c r="N6" s="32"/>
      <c r="O6" s="32"/>
      <c r="P6" s="32"/>
      <c r="Q6" s="32"/>
      <c r="R6" s="32"/>
      <c r="S6" s="32"/>
      <c r="T6" s="32"/>
      <c r="U6" s="32"/>
      <c r="V6" s="32"/>
      <c r="W6" s="32"/>
      <c r="X6" s="32"/>
      <c r="Y6" s="32"/>
      <c r="AA6" s="51"/>
      <c r="AB6" s="51"/>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row>
    <row r="7" spans="1:209">
      <c r="A7" s="4">
        <v>1782</v>
      </c>
      <c r="B7" s="35">
        <f t="shared" si="0"/>
        <v>326.40702224047084</v>
      </c>
      <c r="C7" s="75"/>
      <c r="D7" s="32">
        <f t="shared" si="1"/>
        <v>399.97006978192275</v>
      </c>
      <c r="E7" s="32"/>
      <c r="F7" s="32"/>
      <c r="G7" s="32"/>
      <c r="H7" s="32"/>
      <c r="I7" s="32"/>
      <c r="J7" s="32"/>
      <c r="K7" s="32">
        <f>'Pm indices'!B6</f>
        <v>399.97006978192275</v>
      </c>
      <c r="L7" s="32"/>
      <c r="M7" s="32"/>
      <c r="N7" s="32"/>
      <c r="O7" s="32"/>
      <c r="P7" s="32"/>
      <c r="Q7" s="32"/>
      <c r="R7" s="32"/>
      <c r="S7" s="32"/>
      <c r="T7" s="32"/>
      <c r="U7" s="32"/>
      <c r="V7" s="32"/>
      <c r="W7" s="32"/>
      <c r="X7" s="32"/>
      <c r="Y7" s="32"/>
      <c r="AA7" s="51"/>
      <c r="AB7" s="51"/>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row>
    <row r="8" spans="1:209">
      <c r="A8" s="4">
        <v>1783</v>
      </c>
      <c r="B8" s="35">
        <f t="shared" si="0"/>
        <v>320.92583362632053</v>
      </c>
      <c r="C8" s="75"/>
      <c r="D8" s="32">
        <f t="shared" si="1"/>
        <v>393.25357398645411</v>
      </c>
      <c r="E8" s="32"/>
      <c r="F8" s="32"/>
      <c r="G8" s="32"/>
      <c r="H8" s="32"/>
      <c r="I8" s="32"/>
      <c r="J8" s="32"/>
      <c r="K8" s="32">
        <f>'Pm indices'!B7</f>
        <v>393.25357398645411</v>
      </c>
      <c r="L8" s="32"/>
      <c r="M8" s="32"/>
      <c r="N8" s="32"/>
      <c r="O8" s="32"/>
      <c r="P8" s="32"/>
      <c r="Q8" s="32"/>
      <c r="R8" s="32"/>
      <c r="S8" s="32"/>
      <c r="T8" s="32"/>
      <c r="U8" s="32"/>
      <c r="V8" s="32"/>
      <c r="W8" s="32"/>
      <c r="X8" s="32"/>
      <c r="Y8" s="32"/>
      <c r="AA8" s="51"/>
      <c r="AB8" s="51"/>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row>
    <row r="9" spans="1:209">
      <c r="A9" s="4">
        <v>1784</v>
      </c>
      <c r="B9" s="35">
        <f t="shared" si="0"/>
        <v>314.83230513974485</v>
      </c>
      <c r="C9" s="75"/>
      <c r="D9" s="32">
        <f t="shared" si="1"/>
        <v>385.78673397405311</v>
      </c>
      <c r="E9" s="32"/>
      <c r="F9" s="32"/>
      <c r="G9" s="32"/>
      <c r="H9" s="32"/>
      <c r="I9" s="32"/>
      <c r="J9" s="32"/>
      <c r="K9" s="32">
        <f>'Pm indices'!B8</f>
        <v>385.78673397405311</v>
      </c>
      <c r="L9" s="32"/>
      <c r="M9" s="32"/>
      <c r="N9" s="32"/>
      <c r="O9" s="32"/>
      <c r="P9" s="32"/>
      <c r="Q9" s="32"/>
      <c r="R9" s="32"/>
      <c r="S9" s="32"/>
      <c r="T9" s="32"/>
      <c r="U9" s="32"/>
      <c r="V9" s="32"/>
      <c r="W9" s="32"/>
      <c r="X9" s="32"/>
      <c r="Y9" s="32"/>
      <c r="AA9" s="51"/>
      <c r="AB9" s="51"/>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row>
    <row r="10" spans="1:209">
      <c r="A10" s="4">
        <v>1785</v>
      </c>
      <c r="B10" s="35">
        <f t="shared" si="0"/>
        <v>316.83760644636743</v>
      </c>
      <c r="C10" s="75"/>
      <c r="D10" s="32">
        <f t="shared" si="1"/>
        <v>388.24397431783689</v>
      </c>
      <c r="E10" s="32"/>
      <c r="F10" s="32"/>
      <c r="G10" s="32"/>
      <c r="H10" s="32"/>
      <c r="I10" s="32"/>
      <c r="J10" s="32"/>
      <c r="K10" s="32">
        <f>'Pm indices'!B9</f>
        <v>388.24397431783689</v>
      </c>
      <c r="L10" s="32"/>
      <c r="M10" s="32"/>
      <c r="N10" s="32"/>
      <c r="O10" s="32"/>
      <c r="P10" s="32"/>
      <c r="Q10" s="32"/>
      <c r="R10" s="32"/>
      <c r="S10" s="32"/>
      <c r="T10" s="32"/>
      <c r="U10" s="32"/>
      <c r="V10" s="32"/>
      <c r="W10" s="32"/>
      <c r="X10" s="32"/>
      <c r="Y10" s="32"/>
      <c r="AA10" s="51"/>
      <c r="AB10" s="51"/>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row>
    <row r="11" spans="1:209">
      <c r="A11" s="4">
        <v>1786</v>
      </c>
      <c r="B11" s="35">
        <f t="shared" si="0"/>
        <v>320.1384675859203</v>
      </c>
      <c r="C11" s="75"/>
      <c r="D11" s="32">
        <f t="shared" si="1"/>
        <v>392.2887575803573</v>
      </c>
      <c r="E11" s="32"/>
      <c r="F11" s="32"/>
      <c r="G11" s="32"/>
      <c r="H11" s="32"/>
      <c r="I11" s="32"/>
      <c r="J11" s="32"/>
      <c r="K11" s="32">
        <f>'Pm indices'!B10</f>
        <v>392.2887575803573</v>
      </c>
      <c r="L11" s="32"/>
      <c r="M11" s="32"/>
      <c r="N11" s="32"/>
      <c r="O11" s="32"/>
      <c r="P11" s="32"/>
      <c r="Q11" s="32"/>
      <c r="R11" s="32"/>
      <c r="S11" s="32"/>
      <c r="T11" s="32"/>
      <c r="U11" s="32"/>
      <c r="V11" s="32"/>
      <c r="W11" s="32"/>
      <c r="X11" s="32"/>
      <c r="Y11" s="32"/>
      <c r="AA11" s="51"/>
      <c r="AB11" s="51"/>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row>
    <row r="12" spans="1:209">
      <c r="A12" s="4">
        <v>1787</v>
      </c>
      <c r="B12" s="35">
        <f t="shared" si="0"/>
        <v>321.86766391381741</v>
      </c>
      <c r="C12" s="75"/>
      <c r="D12" s="32">
        <f t="shared" si="1"/>
        <v>394.40766657682531</v>
      </c>
      <c r="E12" s="32"/>
      <c r="F12" s="32"/>
      <c r="G12" s="32"/>
      <c r="H12" s="32"/>
      <c r="I12" s="32"/>
      <c r="J12" s="32"/>
      <c r="K12" s="32">
        <f>'Pm indices'!B11</f>
        <v>394.40766657682531</v>
      </c>
      <c r="L12" s="32"/>
      <c r="M12" s="32"/>
      <c r="N12" s="32"/>
      <c r="O12" s="32"/>
      <c r="P12" s="32"/>
      <c r="Q12" s="32"/>
      <c r="R12" s="32"/>
      <c r="S12" s="32"/>
      <c r="T12" s="32"/>
      <c r="U12" s="32"/>
      <c r="V12" s="32"/>
      <c r="W12" s="32"/>
      <c r="X12" s="32"/>
      <c r="Y12" s="32"/>
      <c r="AA12" s="51"/>
      <c r="AB12" s="51"/>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row>
    <row r="13" spans="1:209">
      <c r="A13" s="4">
        <v>1788</v>
      </c>
      <c r="B13" s="35">
        <f t="shared" si="0"/>
        <v>316.53410138374352</v>
      </c>
      <c r="C13" s="75"/>
      <c r="D13" s="32">
        <f t="shared" si="1"/>
        <v>387.87206767121017</v>
      </c>
      <c r="E13" s="32"/>
      <c r="F13" s="32"/>
      <c r="G13" s="32"/>
      <c r="H13" s="32"/>
      <c r="I13" s="32"/>
      <c r="J13" s="32"/>
      <c r="K13" s="32">
        <f>'Pm indices'!B12</f>
        <v>387.87206767121017</v>
      </c>
      <c r="L13" s="32"/>
      <c r="M13" s="32"/>
      <c r="N13" s="32"/>
      <c r="O13" s="32"/>
      <c r="P13" s="32"/>
      <c r="Q13" s="32"/>
      <c r="R13" s="32"/>
      <c r="S13" s="32"/>
      <c r="T13" s="32"/>
      <c r="U13" s="32"/>
      <c r="V13" s="32"/>
      <c r="W13" s="32"/>
      <c r="X13" s="32"/>
      <c r="Y13" s="32"/>
      <c r="AA13" s="51"/>
      <c r="AB13" s="51"/>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row>
    <row r="14" spans="1:209">
      <c r="A14" s="4">
        <v>1789</v>
      </c>
      <c r="B14" s="35">
        <f t="shared" si="0"/>
        <v>317.9494566757819</v>
      </c>
      <c r="C14" s="75"/>
      <c r="D14" s="32">
        <f t="shared" si="1"/>
        <v>389.60640460745952</v>
      </c>
      <c r="E14" s="32"/>
      <c r="F14" s="32"/>
      <c r="G14" s="32"/>
      <c r="H14" s="32"/>
      <c r="I14" s="32"/>
      <c r="J14" s="32"/>
      <c r="K14" s="32">
        <f>'Pm indices'!B13</f>
        <v>389.60640460745952</v>
      </c>
      <c r="L14" s="32"/>
      <c r="M14" s="32"/>
      <c r="N14" s="32"/>
      <c r="O14" s="32"/>
      <c r="P14" s="32"/>
      <c r="Q14" s="32"/>
      <c r="R14" s="32"/>
      <c r="S14" s="32"/>
      <c r="T14" s="32"/>
      <c r="U14" s="32"/>
      <c r="V14" s="32"/>
      <c r="W14" s="32"/>
      <c r="X14" s="32"/>
      <c r="Y14" s="32"/>
      <c r="AA14" s="51"/>
      <c r="AB14" s="51"/>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row>
    <row r="15" spans="1:209">
      <c r="A15" s="4">
        <v>1790</v>
      </c>
      <c r="B15" s="35">
        <f t="shared" si="0"/>
        <v>320.63566560315036</v>
      </c>
      <c r="C15" s="75"/>
      <c r="D15" s="32">
        <f t="shared" si="1"/>
        <v>392.89801017633988</v>
      </c>
      <c r="E15" s="32"/>
      <c r="F15" s="32"/>
      <c r="G15" s="32"/>
      <c r="H15" s="32"/>
      <c r="I15" s="32"/>
      <c r="J15" s="32"/>
      <c r="K15" s="32">
        <f>'Pm indices'!B14</f>
        <v>392.89801017633988</v>
      </c>
      <c r="L15" s="32">
        <f>('Pm indices'!B14^'Pm wts'!B$14)*('Pm indices'!C14^'Pm wts'!C$14)</f>
        <v>288.39947057947711</v>
      </c>
      <c r="M15" s="32"/>
      <c r="N15" s="32"/>
      <c r="O15" s="32"/>
      <c r="P15" s="32"/>
      <c r="Q15" s="32"/>
      <c r="R15" s="32"/>
      <c r="S15" s="32"/>
      <c r="T15" s="32"/>
      <c r="U15" s="32"/>
      <c r="V15" s="32"/>
      <c r="W15" s="32"/>
      <c r="X15" s="32"/>
      <c r="Y15" s="32"/>
      <c r="AA15" s="51"/>
      <c r="AB15" s="51"/>
      <c r="AC15" s="51"/>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row>
    <row r="16" spans="1:209">
      <c r="A16" s="4">
        <v>1791</v>
      </c>
      <c r="B16" s="35">
        <f t="shared" si="0"/>
        <v>317.24151020027296</v>
      </c>
      <c r="C16" s="75"/>
      <c r="D16" s="32">
        <f t="shared" ref="D16:D34" si="2">(L16/L$15)*D$15</f>
        <v>388.73890672316901</v>
      </c>
      <c r="E16" s="32"/>
      <c r="F16" s="32"/>
      <c r="G16" s="32"/>
      <c r="H16" s="32"/>
      <c r="I16" s="32"/>
      <c r="J16" s="32"/>
      <c r="K16" s="32"/>
      <c r="L16" s="32">
        <f>('Pm indices'!B15^'Pm wts'!B$14)*('Pm indices'!C15^'Pm wts'!C$14)</f>
        <v>285.34655811132438</v>
      </c>
      <c r="M16" s="32"/>
      <c r="N16" s="32"/>
      <c r="O16" s="32"/>
      <c r="P16" s="32"/>
      <c r="Q16" s="32"/>
      <c r="R16" s="32"/>
      <c r="S16" s="32"/>
      <c r="T16" s="32"/>
      <c r="U16" s="32"/>
      <c r="V16" s="32"/>
      <c r="W16" s="32"/>
      <c r="X16" s="32"/>
      <c r="Y16" s="32"/>
      <c r="AA16" s="51"/>
      <c r="AB16" s="51"/>
      <c r="AC16" s="51"/>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row>
    <row r="17" spans="1:209">
      <c r="A17" s="4">
        <v>1792</v>
      </c>
      <c r="B17" s="35">
        <f t="shared" si="0"/>
        <v>324.25989945075116</v>
      </c>
      <c r="C17" s="75"/>
      <c r="D17" s="32">
        <f t="shared" si="2"/>
        <v>397.33904534458134</v>
      </c>
      <c r="E17" s="32"/>
      <c r="F17" s="32"/>
      <c r="G17" s="32"/>
      <c r="H17" s="32"/>
      <c r="I17" s="32"/>
      <c r="J17" s="32"/>
      <c r="K17" s="32"/>
      <c r="L17" s="32">
        <f>('Pm indices'!B16^'Pm wts'!B$14)*('Pm indices'!C16^'Pm wts'!C$14)</f>
        <v>291.65932977492287</v>
      </c>
      <c r="M17" s="32"/>
      <c r="N17" s="32"/>
      <c r="O17" s="32"/>
      <c r="P17" s="32"/>
      <c r="Q17" s="32"/>
      <c r="R17" s="32"/>
      <c r="S17" s="32"/>
      <c r="T17" s="32"/>
      <c r="U17" s="32"/>
      <c r="V17" s="32"/>
      <c r="W17" s="32"/>
      <c r="X17" s="32"/>
      <c r="Y17" s="32"/>
      <c r="AA17" s="51"/>
      <c r="AB17" s="51"/>
      <c r="AC17" s="51"/>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row>
    <row r="18" spans="1:209">
      <c r="A18" s="4">
        <v>1793</v>
      </c>
      <c r="B18" s="35">
        <f t="shared" si="0"/>
        <v>339.60227758549149</v>
      </c>
      <c r="C18" s="75"/>
      <c r="D18" s="32">
        <f t="shared" si="2"/>
        <v>416.13916799835147</v>
      </c>
      <c r="E18" s="32"/>
      <c r="F18" s="32"/>
      <c r="G18" s="32"/>
      <c r="H18" s="32"/>
      <c r="I18" s="32"/>
      <c r="J18" s="32"/>
      <c r="K18" s="32"/>
      <c r="L18" s="32">
        <f>('Pm indices'!B17^'Pm wts'!B$14)*('Pm indices'!C17^'Pm wts'!C$14)</f>
        <v>305.45920984492642</v>
      </c>
      <c r="M18" s="32"/>
      <c r="N18" s="32"/>
      <c r="O18" s="32"/>
      <c r="P18" s="32"/>
      <c r="Q18" s="32"/>
      <c r="R18" s="32"/>
      <c r="S18" s="32"/>
      <c r="T18" s="32"/>
      <c r="U18" s="32"/>
      <c r="V18" s="32"/>
      <c r="W18" s="32"/>
      <c r="X18" s="32"/>
      <c r="Y18" s="32"/>
      <c r="AA18" s="51"/>
      <c r="AB18" s="51"/>
      <c r="AC18" s="51"/>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row>
    <row r="19" spans="1:209">
      <c r="A19" s="4">
        <v>1794</v>
      </c>
      <c r="B19" s="35">
        <f t="shared" si="0"/>
        <v>340.89815282683202</v>
      </c>
      <c r="C19" s="75"/>
      <c r="D19" s="32">
        <f t="shared" si="2"/>
        <v>417.72709740976524</v>
      </c>
      <c r="E19" s="32"/>
      <c r="F19" s="32"/>
      <c r="G19" s="32"/>
      <c r="H19" s="32"/>
      <c r="I19" s="32"/>
      <c r="J19" s="32"/>
      <c r="K19" s="32"/>
      <c r="L19" s="32">
        <f>('Pm indices'!B18^'Pm wts'!B$14)*('Pm indices'!C18^'Pm wts'!C$14)</f>
        <v>306.62479987009294</v>
      </c>
      <c r="M19" s="32"/>
      <c r="N19" s="32"/>
      <c r="O19" s="32"/>
      <c r="P19" s="32"/>
      <c r="Q19" s="32"/>
      <c r="R19" s="32"/>
      <c r="S19" s="32"/>
      <c r="T19" s="32"/>
      <c r="U19" s="32"/>
      <c r="V19" s="32"/>
      <c r="W19" s="32"/>
      <c r="X19" s="32"/>
      <c r="Y19" s="32"/>
      <c r="AA19" s="51"/>
      <c r="AB19" s="51"/>
      <c r="AC19" s="51"/>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row>
    <row r="20" spans="1:209">
      <c r="A20" s="4">
        <v>1795</v>
      </c>
      <c r="B20" s="35">
        <f t="shared" si="0"/>
        <v>373.20295812418982</v>
      </c>
      <c r="C20" s="75"/>
      <c r="D20" s="32">
        <f t="shared" si="2"/>
        <v>457.31250565369845</v>
      </c>
      <c r="E20" s="32"/>
      <c r="F20" s="32"/>
      <c r="G20" s="32"/>
      <c r="H20" s="32"/>
      <c r="I20" s="32"/>
      <c r="J20" s="32"/>
      <c r="K20" s="32"/>
      <c r="L20" s="32">
        <f>('Pm indices'!B19^'Pm wts'!B$14)*('Pm indices'!C19^'Pm wts'!C$14)</f>
        <v>335.6817319097816</v>
      </c>
      <c r="M20" s="32"/>
      <c r="N20" s="32"/>
      <c r="O20" s="32"/>
      <c r="P20" s="32"/>
      <c r="Q20" s="32"/>
      <c r="R20" s="32"/>
      <c r="S20" s="32"/>
      <c r="T20" s="32"/>
      <c r="U20" s="32"/>
      <c r="V20" s="32"/>
      <c r="W20" s="32"/>
      <c r="X20" s="32"/>
      <c r="Y20" s="32"/>
      <c r="AA20" s="51"/>
      <c r="AB20" s="51"/>
      <c r="AC20" s="51"/>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row>
    <row r="21" spans="1:209">
      <c r="A21" s="4">
        <v>1796</v>
      </c>
      <c r="B21" s="35">
        <f t="shared" si="0"/>
        <v>405.01704686415991</v>
      </c>
      <c r="C21" s="75"/>
      <c r="D21" s="32">
        <f t="shared" si="2"/>
        <v>496.29660350193529</v>
      </c>
      <c r="E21" s="32"/>
      <c r="F21" s="32"/>
      <c r="G21" s="32"/>
      <c r="H21" s="32"/>
      <c r="I21" s="32"/>
      <c r="J21" s="32"/>
      <c r="K21" s="32"/>
      <c r="L21" s="32">
        <f>('Pm indices'!B20^'Pm wts'!B$14)*('Pm indices'!C20^'Pm wts'!C$14)</f>
        <v>364.29728324689313</v>
      </c>
      <c r="M21" s="32"/>
      <c r="N21" s="32"/>
      <c r="O21" s="32"/>
      <c r="P21" s="32"/>
      <c r="Q21" s="32"/>
      <c r="R21" s="32"/>
      <c r="S21" s="32"/>
      <c r="T21" s="32"/>
      <c r="U21" s="32"/>
      <c r="V21" s="32"/>
      <c r="W21" s="32"/>
      <c r="X21" s="32"/>
      <c r="Y21" s="32"/>
      <c r="AA21" s="51"/>
      <c r="AB21" s="51"/>
      <c r="AC21" s="51"/>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row>
    <row r="22" spans="1:209">
      <c r="A22" s="4">
        <v>1797</v>
      </c>
      <c r="B22" s="35">
        <f t="shared" si="0"/>
        <v>391.18683705290368</v>
      </c>
      <c r="C22" s="75"/>
      <c r="D22" s="32">
        <f t="shared" si="2"/>
        <v>479.34944977547076</v>
      </c>
      <c r="E22" s="32"/>
      <c r="F22" s="32"/>
      <c r="G22" s="32"/>
      <c r="H22" s="32"/>
      <c r="I22" s="32"/>
      <c r="J22" s="32"/>
      <c r="K22" s="32"/>
      <c r="L22" s="32">
        <f>('Pm indices'!B21^'Pm wts'!B$14)*('Pm indices'!C21^'Pm wts'!C$14)</f>
        <v>351.85754052498999</v>
      </c>
      <c r="M22" s="32"/>
      <c r="N22" s="32"/>
      <c r="O22" s="32"/>
      <c r="P22" s="32"/>
      <c r="Q22" s="32"/>
      <c r="R22" s="32"/>
      <c r="S22" s="32"/>
      <c r="T22" s="32"/>
      <c r="U22" s="32"/>
      <c r="V22" s="32"/>
      <c r="W22" s="32"/>
      <c r="X22" s="32"/>
      <c r="Y22" s="32"/>
      <c r="AA22" s="51"/>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row>
    <row r="23" spans="1:209">
      <c r="A23" s="4">
        <v>1798</v>
      </c>
      <c r="B23" s="35">
        <f t="shared" si="0"/>
        <v>399.76219813267932</v>
      </c>
      <c r="C23" s="75"/>
      <c r="D23" s="32">
        <f t="shared" si="2"/>
        <v>489.85745829177091</v>
      </c>
      <c r="E23" s="32"/>
      <c r="F23" s="32"/>
      <c r="G23" s="32"/>
      <c r="H23" s="32"/>
      <c r="I23" s="32"/>
      <c r="J23" s="32"/>
      <c r="K23" s="32"/>
      <c r="L23" s="32">
        <f>('Pm indices'!B22^'Pm wts'!B$14)*('Pm indices'!C22^'Pm wts'!C$14)</f>
        <v>359.57074856996184</v>
      </c>
      <c r="M23" s="32"/>
      <c r="N23" s="32"/>
      <c r="O23" s="32"/>
      <c r="P23" s="32"/>
      <c r="Q23" s="32"/>
      <c r="R23" s="32"/>
      <c r="S23" s="32"/>
      <c r="T23" s="32"/>
      <c r="U23" s="32"/>
      <c r="V23" s="32"/>
      <c r="W23" s="32"/>
      <c r="X23" s="32"/>
      <c r="Y23" s="32"/>
      <c r="AA23" s="51"/>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row>
    <row r="24" spans="1:209">
      <c r="A24" s="4">
        <v>1799</v>
      </c>
      <c r="B24" s="35">
        <f t="shared" si="0"/>
        <v>430.09581001341468</v>
      </c>
      <c r="C24" s="75"/>
      <c r="D24" s="32">
        <f t="shared" si="2"/>
        <v>527.02742104991648</v>
      </c>
      <c r="E24" s="32"/>
      <c r="F24" s="32"/>
      <c r="G24" s="32"/>
      <c r="H24" s="32"/>
      <c r="I24" s="32"/>
      <c r="J24" s="32"/>
      <c r="K24" s="32"/>
      <c r="L24" s="32">
        <f>('Pm indices'!B23^'Pm wts'!B$14)*('Pm indices'!C23^'Pm wts'!C$14)</f>
        <v>386.85466781428892</v>
      </c>
      <c r="M24" s="32"/>
      <c r="N24" s="32"/>
      <c r="O24" s="32"/>
      <c r="P24" s="32"/>
      <c r="Q24" s="32"/>
      <c r="R24" s="32"/>
      <c r="S24" s="32"/>
      <c r="T24" s="32"/>
      <c r="U24" s="32"/>
      <c r="V24" s="32"/>
      <c r="W24" s="32"/>
      <c r="X24" s="32"/>
      <c r="Y24" s="32"/>
      <c r="AA24" s="51"/>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row>
    <row r="25" spans="1:209">
      <c r="A25" s="4">
        <v>1800</v>
      </c>
      <c r="B25" s="35">
        <f t="shared" si="0"/>
        <v>397.4058839927244</v>
      </c>
      <c r="C25" s="75"/>
      <c r="D25" s="32">
        <f t="shared" si="2"/>
        <v>486.97009660292963</v>
      </c>
      <c r="E25" s="32"/>
      <c r="F25" s="32"/>
      <c r="G25" s="32"/>
      <c r="H25" s="32"/>
      <c r="I25" s="32"/>
      <c r="J25" s="32"/>
      <c r="K25" s="32"/>
      <c r="L25" s="32">
        <f>('Pm indices'!B24^'Pm wts'!B$14)*('Pm indices'!C24^'Pm wts'!C$14)</f>
        <v>357.45133447046175</v>
      </c>
      <c r="M25" s="32"/>
      <c r="N25" s="32"/>
      <c r="O25" s="32"/>
      <c r="P25" s="32"/>
      <c r="Q25" s="32"/>
      <c r="R25" s="32"/>
      <c r="S25" s="32"/>
      <c r="T25" s="32"/>
      <c r="U25" s="32"/>
      <c r="V25" s="32"/>
      <c r="W25" s="32"/>
      <c r="X25" s="32"/>
      <c r="Y25" s="32"/>
      <c r="AA25" s="51"/>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row>
    <row r="26" spans="1:209">
      <c r="A26" s="4">
        <v>1801</v>
      </c>
      <c r="B26" s="35">
        <f t="shared" si="0"/>
        <v>407.33274427980388</v>
      </c>
      <c r="C26" s="75"/>
      <c r="D26" s="32">
        <f t="shared" si="2"/>
        <v>499.13419458858351</v>
      </c>
      <c r="E26" s="32"/>
      <c r="F26" s="32"/>
      <c r="G26" s="32"/>
      <c r="H26" s="32"/>
      <c r="I26" s="32"/>
      <c r="J26" s="32"/>
      <c r="K26" s="32"/>
      <c r="L26" s="32">
        <f>('Pm indices'!B25^'Pm wts'!B$14)*('Pm indices'!C25^'Pm wts'!C$14)</f>
        <v>366.38016416233251</v>
      </c>
      <c r="M26" s="32"/>
      <c r="N26" s="32"/>
      <c r="O26" s="32"/>
      <c r="P26" s="32"/>
      <c r="Q26" s="32"/>
      <c r="R26" s="32"/>
      <c r="S26" s="32"/>
      <c r="T26" s="32"/>
      <c r="U26" s="32"/>
      <c r="V26" s="32"/>
      <c r="W26" s="32"/>
      <c r="X26" s="32"/>
      <c r="Y26" s="32"/>
      <c r="AA26" s="51"/>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row>
    <row r="27" spans="1:209">
      <c r="A27" s="4">
        <v>1802</v>
      </c>
      <c r="B27" s="35">
        <f t="shared" si="0"/>
        <v>388.57082307496427</v>
      </c>
      <c r="C27" s="75"/>
      <c r="D27" s="32">
        <f t="shared" si="2"/>
        <v>476.14385914165143</v>
      </c>
      <c r="E27" s="32"/>
      <c r="F27" s="32"/>
      <c r="G27" s="32"/>
      <c r="H27" s="32"/>
      <c r="I27" s="32"/>
      <c r="J27" s="32"/>
      <c r="K27" s="32"/>
      <c r="L27" s="32">
        <f>('Pm indices'!B26^'Pm wts'!B$14)*('Pm indices'!C26^'Pm wts'!C$14)</f>
        <v>349.5045363922556</v>
      </c>
      <c r="M27" s="32"/>
      <c r="N27" s="32"/>
      <c r="O27" s="32"/>
      <c r="P27" s="32"/>
      <c r="Q27" s="32"/>
      <c r="R27" s="32"/>
      <c r="S27" s="32"/>
      <c r="T27" s="32"/>
      <c r="U27" s="32"/>
      <c r="V27" s="32"/>
      <c r="W27" s="32"/>
      <c r="X27" s="32"/>
      <c r="Y27" s="32"/>
      <c r="AA27" s="51"/>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row>
    <row r="28" spans="1:209">
      <c r="A28" s="4">
        <v>1803</v>
      </c>
      <c r="B28" s="35">
        <f t="shared" si="0"/>
        <v>386.86592728892123</v>
      </c>
      <c r="C28" s="75"/>
      <c r="D28" s="32">
        <f t="shared" si="2"/>
        <v>474.05472735204131</v>
      </c>
      <c r="E28" s="32"/>
      <c r="F28" s="32"/>
      <c r="G28" s="32"/>
      <c r="H28" s="32"/>
      <c r="I28" s="32"/>
      <c r="J28" s="32"/>
      <c r="K28" s="32"/>
      <c r="L28" s="32">
        <f>('Pm indices'!B27^'Pm wts'!B$14)*('Pm indices'!C27^'Pm wts'!C$14)</f>
        <v>347.97104809124869</v>
      </c>
      <c r="M28" s="32"/>
      <c r="N28" s="32"/>
      <c r="O28" s="32"/>
      <c r="P28" s="32"/>
      <c r="Q28" s="32"/>
      <c r="R28" s="32"/>
      <c r="S28" s="32"/>
      <c r="T28" s="32"/>
      <c r="U28" s="32"/>
      <c r="V28" s="32"/>
      <c r="W28" s="32"/>
      <c r="X28" s="32"/>
      <c r="Y28" s="32"/>
      <c r="AA28" s="51"/>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row>
    <row r="29" spans="1:209">
      <c r="A29" s="4">
        <v>1804</v>
      </c>
      <c r="B29" s="35">
        <f t="shared" si="0"/>
        <v>391.05441741859909</v>
      </c>
      <c r="C29" s="75"/>
      <c r="D29" s="32">
        <f t="shared" si="2"/>
        <v>479.18718644544265</v>
      </c>
      <c r="E29" s="32"/>
      <c r="F29" s="32"/>
      <c r="G29" s="32"/>
      <c r="H29" s="32"/>
      <c r="I29" s="32"/>
      <c r="J29" s="32"/>
      <c r="K29" s="32"/>
      <c r="L29" s="32">
        <f>('Pm indices'!B28^'Pm wts'!B$14)*('Pm indices'!C28^'Pm wts'!C$14)</f>
        <v>351.73843414811222</v>
      </c>
      <c r="M29" s="32"/>
      <c r="N29" s="32"/>
      <c r="O29" s="32"/>
      <c r="P29" s="32"/>
      <c r="Q29" s="32"/>
      <c r="R29" s="32"/>
      <c r="S29" s="32"/>
      <c r="T29" s="32"/>
      <c r="U29" s="32"/>
      <c r="V29" s="32"/>
      <c r="W29" s="32"/>
      <c r="X29" s="32"/>
      <c r="Y29" s="32"/>
      <c r="AA29" s="51"/>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row>
    <row r="30" spans="1:209">
      <c r="A30" s="4">
        <v>1805</v>
      </c>
      <c r="B30" s="35">
        <f t="shared" si="0"/>
        <v>402.60925502427671</v>
      </c>
      <c r="C30" s="75"/>
      <c r="D30" s="32">
        <f t="shared" si="2"/>
        <v>493.34616247401851</v>
      </c>
      <c r="E30" s="32"/>
      <c r="F30" s="32"/>
      <c r="G30" s="32"/>
      <c r="H30" s="32"/>
      <c r="I30" s="32"/>
      <c r="J30" s="32"/>
      <c r="K30" s="32"/>
      <c r="L30" s="32">
        <f>('Pm indices'!B29^'Pm wts'!B$14)*('Pm indices'!C29^'Pm wts'!C$14)</f>
        <v>362.13156693276557</v>
      </c>
      <c r="M30" s="32"/>
      <c r="N30" s="32"/>
      <c r="O30" s="32"/>
      <c r="P30" s="32"/>
      <c r="Q30" s="32"/>
      <c r="R30" s="32"/>
      <c r="S30" s="32"/>
      <c r="T30" s="32"/>
      <c r="U30" s="32"/>
      <c r="V30" s="32"/>
      <c r="W30" s="32"/>
      <c r="X30" s="32"/>
      <c r="Y30" s="32"/>
      <c r="AA30" s="51"/>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row>
    <row r="31" spans="1:209">
      <c r="A31" s="4">
        <v>1806</v>
      </c>
      <c r="B31" s="35">
        <f t="shared" si="0"/>
        <v>378.89651764534614</v>
      </c>
      <c r="C31" s="75"/>
      <c r="D31" s="32">
        <f t="shared" si="2"/>
        <v>464.28923484093616</v>
      </c>
      <c r="E31" s="32"/>
      <c r="F31" s="32"/>
      <c r="G31" s="32"/>
      <c r="H31" s="32"/>
      <c r="I31" s="32"/>
      <c r="J31" s="32"/>
      <c r="K31" s="32"/>
      <c r="L31" s="32">
        <f>('Pm indices'!B30^'Pm wts'!B$14)*('Pm indices'!C30^'Pm wts'!C$14)</f>
        <v>340.80287009796604</v>
      </c>
      <c r="M31" s="32"/>
      <c r="N31" s="32"/>
      <c r="O31" s="32"/>
      <c r="P31" s="32"/>
      <c r="Q31" s="32"/>
      <c r="R31" s="32"/>
      <c r="S31" s="32"/>
      <c r="T31" s="32"/>
      <c r="U31" s="32"/>
      <c r="V31" s="32"/>
      <c r="W31" s="32"/>
      <c r="X31" s="32"/>
      <c r="Y31" s="32"/>
      <c r="AA31" s="51"/>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row>
    <row r="32" spans="1:209">
      <c r="A32" s="4">
        <v>1807</v>
      </c>
      <c r="B32" s="35">
        <f t="shared" si="0"/>
        <v>354.24017028585195</v>
      </c>
      <c r="C32" s="75"/>
      <c r="D32" s="32">
        <f t="shared" si="2"/>
        <v>434.07603383118942</v>
      </c>
      <c r="E32" s="32"/>
      <c r="F32" s="32"/>
      <c r="G32" s="32"/>
      <c r="H32" s="32"/>
      <c r="I32" s="32"/>
      <c r="J32" s="32"/>
      <c r="K32" s="32"/>
      <c r="L32" s="32">
        <f>('Pm indices'!B31^'Pm wts'!B$14)*('Pm indices'!C31^'Pm wts'!C$14)</f>
        <v>318.6254323150373</v>
      </c>
      <c r="M32" s="32"/>
      <c r="N32" s="32"/>
      <c r="O32" s="32"/>
      <c r="P32" s="32"/>
      <c r="Q32" s="32"/>
      <c r="R32" s="32"/>
      <c r="S32" s="32"/>
      <c r="T32" s="32"/>
      <c r="U32" s="32"/>
      <c r="V32" s="32"/>
      <c r="W32" s="32"/>
      <c r="X32" s="32"/>
      <c r="Y32" s="32"/>
      <c r="AA32" s="51"/>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row>
    <row r="33" spans="1:209">
      <c r="A33" s="4">
        <v>1808</v>
      </c>
      <c r="B33" s="35">
        <f t="shared" si="0"/>
        <v>329.67226025605436</v>
      </c>
      <c r="C33" s="75"/>
      <c r="D33" s="32">
        <f t="shared" si="2"/>
        <v>403.97120146096296</v>
      </c>
      <c r="E33" s="32"/>
      <c r="F33" s="32"/>
      <c r="G33" s="32"/>
      <c r="H33" s="32"/>
      <c r="I33" s="32"/>
      <c r="J33" s="32"/>
      <c r="K33" s="32"/>
      <c r="L33" s="32">
        <f>('Pm indices'!B32^'Pm wts'!B$14)*('Pm indices'!C32^'Pm wts'!C$14)</f>
        <v>296.52754051466786</v>
      </c>
      <c r="M33" s="32"/>
      <c r="N33" s="32"/>
      <c r="O33" s="32"/>
      <c r="P33" s="32"/>
      <c r="Q33" s="32"/>
      <c r="R33" s="32"/>
      <c r="S33" s="32"/>
      <c r="T33" s="32"/>
      <c r="U33" s="32"/>
      <c r="V33" s="32"/>
      <c r="W33" s="32"/>
      <c r="X33" s="32"/>
      <c r="Y33" s="32"/>
      <c r="AA33" s="51"/>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row>
    <row r="34" spans="1:209">
      <c r="A34" s="4">
        <v>1809</v>
      </c>
      <c r="B34" s="35">
        <f t="shared" si="0"/>
        <v>314.00924422650615</v>
      </c>
      <c r="C34" s="75"/>
      <c r="D34" s="32">
        <f t="shared" si="2"/>
        <v>384.77817806541111</v>
      </c>
      <c r="E34" s="32"/>
      <c r="F34" s="32"/>
      <c r="G34" s="32"/>
      <c r="H34" s="32"/>
      <c r="I34" s="32"/>
      <c r="J34" s="32"/>
      <c r="K34" s="32"/>
      <c r="L34" s="32">
        <f>('Pm indices'!B33^'Pm wts'!B$14)*('Pm indices'!C33^'Pm wts'!C$14)</f>
        <v>282.43925896900072</v>
      </c>
      <c r="M34" s="32">
        <f>('Pm indices'!B33^'Pm wts'!B$15)*('Pm indices'!C33^'Pm wts'!C$15)*('Pm indices'!D33^'Pm wts'!D$15)</f>
        <v>275.72511717188479</v>
      </c>
      <c r="N34" s="32"/>
      <c r="O34" s="32"/>
      <c r="P34" s="32"/>
      <c r="Q34" s="32"/>
      <c r="R34" s="32"/>
      <c r="S34" s="32"/>
      <c r="T34" s="32"/>
      <c r="U34" s="32"/>
      <c r="V34" s="32"/>
      <c r="W34" s="32"/>
      <c r="X34" s="32"/>
      <c r="Y34" s="32"/>
      <c r="AA34" s="51"/>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row>
    <row r="35" spans="1:209">
      <c r="A35" s="4">
        <v>1810</v>
      </c>
      <c r="B35" s="35">
        <f t="shared" si="0"/>
        <v>326.20340633666541</v>
      </c>
      <c r="C35" s="75"/>
      <c r="D35" s="32">
        <f t="shared" ref="D35:D46" si="3">(M35/M$34)*D$34</f>
        <v>399.72056452711928</v>
      </c>
      <c r="E35" s="32"/>
      <c r="F35" s="32"/>
      <c r="G35" s="32"/>
      <c r="H35" s="32"/>
      <c r="I35" s="32"/>
      <c r="J35" s="32"/>
      <c r="K35" s="32"/>
      <c r="L35" s="32"/>
      <c r="M35" s="32">
        <f>('Pm indices'!B34^'Pm wts'!B$15)*('Pm indices'!C34^'Pm wts'!C$15)*('Pm indices'!D34^'Pm wts'!D$15)</f>
        <v>286.43256237757856</v>
      </c>
      <c r="N35" s="32"/>
      <c r="O35" s="32"/>
      <c r="P35" s="32"/>
      <c r="Q35" s="32"/>
      <c r="R35" s="32"/>
      <c r="S35" s="32"/>
      <c r="T35" s="32"/>
      <c r="U35" s="32"/>
      <c r="V35" s="32"/>
      <c r="W35" s="32"/>
      <c r="X35" s="32"/>
      <c r="Y35" s="32"/>
      <c r="AA35" s="51"/>
      <c r="AB35" s="51"/>
      <c r="AC35" s="51"/>
      <c r="AD35" s="51"/>
      <c r="AE35" s="51"/>
      <c r="AF35" s="51"/>
      <c r="AG35" s="51"/>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row>
    <row r="36" spans="1:209">
      <c r="A36" s="4">
        <v>1811</v>
      </c>
      <c r="B36" s="35">
        <f t="shared" si="0"/>
        <v>296.19321962902296</v>
      </c>
      <c r="C36" s="75"/>
      <c r="D36" s="32">
        <f t="shared" si="3"/>
        <v>362.9469179638989</v>
      </c>
      <c r="E36" s="32"/>
      <c r="F36" s="32"/>
      <c r="G36" s="32"/>
      <c r="H36" s="32"/>
      <c r="I36" s="32"/>
      <c r="J36" s="32"/>
      <c r="K36" s="32"/>
      <c r="L36" s="32"/>
      <c r="M36" s="32">
        <f>('Pm indices'!B35^'Pm wts'!B$15)*('Pm indices'!C35^'Pm wts'!C$15)*('Pm indices'!D35^'Pm wts'!D$15)</f>
        <v>260.08122910171448</v>
      </c>
      <c r="N36" s="32"/>
      <c r="O36" s="32"/>
      <c r="P36" s="32"/>
      <c r="Q36" s="32"/>
      <c r="R36" s="32"/>
      <c r="S36" s="32"/>
      <c r="T36" s="32"/>
      <c r="U36" s="32"/>
      <c r="V36" s="32"/>
      <c r="W36" s="32"/>
      <c r="X36" s="32"/>
      <c r="Y36" s="32"/>
      <c r="AA36" s="51"/>
      <c r="AB36" s="51"/>
      <c r="AC36" s="51"/>
      <c r="AD36" s="51"/>
      <c r="AE36" s="51"/>
      <c r="AF36" s="51"/>
      <c r="AG36" s="51"/>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row>
    <row r="37" spans="1:209">
      <c r="A37" s="4">
        <v>1812</v>
      </c>
      <c r="B37" s="35">
        <f t="shared" si="0"/>
        <v>321.92177761774275</v>
      </c>
      <c r="C37" s="75"/>
      <c r="D37" s="32">
        <f t="shared" si="3"/>
        <v>394.47397600174702</v>
      </c>
      <c r="E37" s="32"/>
      <c r="F37" s="32"/>
      <c r="G37" s="32"/>
      <c r="H37" s="32"/>
      <c r="I37" s="32"/>
      <c r="J37" s="32"/>
      <c r="K37" s="32"/>
      <c r="L37" s="32"/>
      <c r="M37" s="32">
        <f>('Pm indices'!B36^'Pm wts'!B$15)*('Pm indices'!C36^'Pm wts'!C$15)*('Pm indices'!D36^'Pm wts'!D$15)</f>
        <v>282.67295146828991</v>
      </c>
      <c r="N37" s="32"/>
      <c r="O37" s="32"/>
      <c r="P37" s="32"/>
      <c r="Q37" s="32"/>
      <c r="R37" s="32"/>
      <c r="S37" s="32"/>
      <c r="T37" s="32"/>
      <c r="U37" s="32"/>
      <c r="V37" s="32"/>
      <c r="W37" s="32"/>
      <c r="X37" s="32"/>
      <c r="Y37" s="32"/>
      <c r="AA37" s="51"/>
      <c r="AB37" s="51"/>
      <c r="AC37" s="51"/>
      <c r="AD37" s="51"/>
      <c r="AE37" s="51"/>
      <c r="AF37" s="51"/>
      <c r="AG37" s="51"/>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row>
    <row r="38" spans="1:209">
      <c r="A38" s="4">
        <v>1813</v>
      </c>
      <c r="B38" s="35">
        <f t="shared" si="0"/>
        <v>323.28596291829018</v>
      </c>
      <c r="C38" s="75"/>
      <c r="D38" s="32">
        <f t="shared" si="3"/>
        <v>396.14561065626572</v>
      </c>
      <c r="E38" s="32"/>
      <c r="F38" s="32"/>
      <c r="G38" s="32"/>
      <c r="H38" s="32"/>
      <c r="I38" s="32"/>
      <c r="J38" s="32"/>
      <c r="K38" s="32"/>
      <c r="L38" s="32"/>
      <c r="M38" s="32">
        <f>('Pm indices'!B37^'Pm wts'!B$15)*('Pm indices'!C37^'Pm wts'!C$15)*('Pm indices'!D37^'Pm wts'!D$15)</f>
        <v>283.87081477567165</v>
      </c>
      <c r="N38" s="32"/>
      <c r="O38" s="32"/>
      <c r="P38" s="32"/>
      <c r="Q38" s="32"/>
      <c r="R38" s="32"/>
      <c r="S38" s="32"/>
      <c r="T38" s="32"/>
      <c r="U38" s="32"/>
      <c r="V38" s="32"/>
      <c r="W38" s="32"/>
      <c r="X38" s="32"/>
      <c r="Y38" s="32"/>
      <c r="AA38" s="51"/>
      <c r="AB38" s="51"/>
      <c r="AC38" s="51"/>
      <c r="AD38" s="51"/>
      <c r="AE38" s="51"/>
      <c r="AF38" s="51"/>
      <c r="AG38" s="51"/>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row>
    <row r="39" spans="1:209">
      <c r="A39" s="4">
        <v>1814</v>
      </c>
      <c r="B39" s="35">
        <f t="shared" si="0"/>
        <v>316.12350476592042</v>
      </c>
      <c r="C39" s="75"/>
      <c r="D39" s="32">
        <f t="shared" si="3"/>
        <v>387.36893401692885</v>
      </c>
      <c r="E39" s="32"/>
      <c r="F39" s="32"/>
      <c r="G39" s="32"/>
      <c r="H39" s="32"/>
      <c r="I39" s="32"/>
      <c r="J39" s="32"/>
      <c r="K39" s="32"/>
      <c r="L39" s="32"/>
      <c r="M39" s="32">
        <f>('Pm indices'!B38^'Pm wts'!B$15)*('Pm indices'!C38^'Pm wts'!C$15)*('Pm indices'!D38^'Pm wts'!D$15)</f>
        <v>277.58160625836967</v>
      </c>
      <c r="N39" s="32"/>
      <c r="O39" s="32"/>
      <c r="P39" s="32"/>
      <c r="Q39" s="32"/>
      <c r="R39" s="32"/>
      <c r="S39" s="32"/>
      <c r="T39" s="32"/>
      <c r="U39" s="32"/>
      <c r="V39" s="32"/>
      <c r="W39" s="32"/>
      <c r="X39" s="32"/>
      <c r="Y39" s="32"/>
      <c r="AA39" s="51"/>
      <c r="AB39" s="51"/>
      <c r="AC39" s="51"/>
      <c r="AD39" s="51"/>
      <c r="AE39" s="51"/>
      <c r="AF39" s="51"/>
      <c r="AG39" s="51"/>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row>
    <row r="40" spans="1:209">
      <c r="A40" s="4">
        <v>1815</v>
      </c>
      <c r="B40" s="35">
        <f t="shared" si="0"/>
        <v>299.71660944292222</v>
      </c>
      <c r="C40" s="75"/>
      <c r="D40" s="32">
        <f t="shared" si="3"/>
        <v>367.26438166324289</v>
      </c>
      <c r="E40" s="32"/>
      <c r="F40" s="32"/>
      <c r="G40" s="32"/>
      <c r="H40" s="32"/>
      <c r="I40" s="32"/>
      <c r="J40" s="32"/>
      <c r="K40" s="32"/>
      <c r="L40" s="32"/>
      <c r="M40" s="32">
        <f>('Pm indices'!B39^'Pm wts'!B$15)*('Pm indices'!C39^'Pm wts'!C$15)*('Pm indices'!D39^'Pm wts'!D$15)</f>
        <v>263.17504588304092</v>
      </c>
      <c r="N40" s="32"/>
      <c r="O40" s="32"/>
      <c r="P40" s="32"/>
      <c r="Q40" s="32"/>
      <c r="R40" s="32"/>
      <c r="S40" s="32"/>
      <c r="T40" s="32"/>
      <c r="U40" s="32"/>
      <c r="V40" s="32"/>
      <c r="W40" s="32"/>
      <c r="X40" s="32"/>
      <c r="Y40" s="32"/>
      <c r="AA40" s="51"/>
      <c r="AB40" s="51"/>
      <c r="AC40" s="51"/>
      <c r="AD40" s="51"/>
      <c r="AE40" s="51"/>
      <c r="AF40" s="51"/>
      <c r="AG40" s="51"/>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row>
    <row r="41" spans="1:209">
      <c r="A41" s="4">
        <v>1816</v>
      </c>
      <c r="B41" s="35">
        <f t="shared" si="0"/>
        <v>292.46936525795377</v>
      </c>
      <c r="C41" s="75"/>
      <c r="D41" s="32">
        <f t="shared" si="3"/>
        <v>358.38381058210683</v>
      </c>
      <c r="E41" s="32"/>
      <c r="F41" s="32"/>
      <c r="G41" s="32"/>
      <c r="H41" s="32"/>
      <c r="I41" s="32"/>
      <c r="J41" s="32"/>
      <c r="K41" s="32"/>
      <c r="L41" s="32"/>
      <c r="M41" s="32">
        <f>('Pm indices'!B40^'Pm wts'!B$15)*('Pm indices'!C40^'Pm wts'!C$15)*('Pm indices'!D40^'Pm wts'!D$15)</f>
        <v>256.81138847863571</v>
      </c>
      <c r="N41" s="32"/>
      <c r="O41" s="32"/>
      <c r="P41" s="32"/>
      <c r="Q41" s="32"/>
      <c r="R41" s="32"/>
      <c r="S41" s="32"/>
      <c r="T41" s="32"/>
      <c r="U41" s="32"/>
      <c r="V41" s="32"/>
      <c r="W41" s="32"/>
      <c r="X41" s="32"/>
      <c r="Y41" s="32"/>
      <c r="AA41" s="51"/>
      <c r="AB41" s="51"/>
      <c r="AC41" s="51"/>
      <c r="AD41" s="51"/>
      <c r="AE41" s="51"/>
      <c r="AF41" s="51"/>
      <c r="AG41" s="51"/>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row>
    <row r="42" spans="1:209">
      <c r="A42" s="4">
        <v>1817</v>
      </c>
      <c r="B42" s="35">
        <f t="shared" si="0"/>
        <v>286.88780149608954</v>
      </c>
      <c r="C42" s="75"/>
      <c r="D42" s="32">
        <f t="shared" si="3"/>
        <v>351.54431787756448</v>
      </c>
      <c r="E42" s="32"/>
      <c r="F42" s="32"/>
      <c r="G42" s="32"/>
      <c r="H42" s="32"/>
      <c r="I42" s="32"/>
      <c r="J42" s="32"/>
      <c r="K42" s="32"/>
      <c r="L42" s="32"/>
      <c r="M42" s="32">
        <f>('Pm indices'!B41^'Pm wts'!B$15)*('Pm indices'!C41^'Pm wts'!C$15)*('Pm indices'!D41^'Pm wts'!D$15)</f>
        <v>251.91033110361067</v>
      </c>
      <c r="N42" s="32"/>
      <c r="O42" s="32"/>
      <c r="P42" s="32"/>
      <c r="Q42" s="32"/>
      <c r="R42" s="32"/>
      <c r="S42" s="32"/>
      <c r="T42" s="32"/>
      <c r="U42" s="32"/>
      <c r="V42" s="32"/>
      <c r="W42" s="32"/>
      <c r="X42" s="32"/>
      <c r="Y42" s="32"/>
      <c r="AA42" s="51"/>
      <c r="AB42" s="51"/>
      <c r="AC42" s="51"/>
      <c r="AD42" s="51"/>
      <c r="AE42" s="51"/>
      <c r="AF42" s="51"/>
      <c r="AG42" s="51"/>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row>
    <row r="43" spans="1:209">
      <c r="A43" s="4">
        <v>1818</v>
      </c>
      <c r="B43" s="35">
        <f t="shared" si="0"/>
        <v>297.8890605830789</v>
      </c>
      <c r="C43" s="75"/>
      <c r="D43" s="32">
        <f t="shared" si="3"/>
        <v>365.0249542147032</v>
      </c>
      <c r="E43" s="32"/>
      <c r="F43" s="32"/>
      <c r="G43" s="32"/>
      <c r="H43" s="32"/>
      <c r="I43" s="32"/>
      <c r="J43" s="32"/>
      <c r="K43" s="32"/>
      <c r="L43" s="32"/>
      <c r="M43" s="32">
        <f>('Pm indices'!B42^'Pm wts'!B$15)*('Pm indices'!C42^'Pm wts'!C$15)*('Pm indices'!D42^'Pm wts'!D$15)</f>
        <v>261.57031247858686</v>
      </c>
      <c r="N43" s="32"/>
      <c r="O43" s="32"/>
      <c r="P43" s="32"/>
      <c r="Q43" s="32"/>
      <c r="R43" s="32"/>
      <c r="S43" s="32"/>
      <c r="T43" s="32"/>
      <c r="U43" s="32"/>
      <c r="V43" s="32"/>
      <c r="W43" s="32"/>
      <c r="X43" s="32"/>
      <c r="Y43" s="32"/>
      <c r="AA43" s="51"/>
      <c r="AB43" s="51"/>
      <c r="AC43" s="51"/>
      <c r="AD43" s="51"/>
      <c r="AE43" s="51"/>
      <c r="AF43" s="51"/>
      <c r="AG43" s="51"/>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row>
    <row r="44" spans="1:209">
      <c r="A44" s="4">
        <v>1819</v>
      </c>
      <c r="B44" s="35">
        <f t="shared" si="0"/>
        <v>272.82986873746529</v>
      </c>
      <c r="C44" s="75"/>
      <c r="D44" s="32">
        <f t="shared" si="3"/>
        <v>334.31811879685318</v>
      </c>
      <c r="E44" s="32"/>
      <c r="F44" s="32"/>
      <c r="G44" s="32"/>
      <c r="H44" s="32"/>
      <c r="I44" s="32"/>
      <c r="J44" s="32"/>
      <c r="K44" s="32"/>
      <c r="L44" s="32"/>
      <c r="M44" s="32">
        <f>('Pm indices'!B43^'Pm wts'!B$15)*('Pm indices'!C43^'Pm wts'!C$15)*('Pm indices'!D43^'Pm wts'!D$15)</f>
        <v>239.56634687915212</v>
      </c>
      <c r="N44" s="32"/>
      <c r="O44" s="32"/>
      <c r="P44" s="32"/>
      <c r="Q44" s="32"/>
      <c r="R44" s="32"/>
      <c r="S44" s="32"/>
      <c r="T44" s="32"/>
      <c r="U44" s="32"/>
      <c r="V44" s="32"/>
      <c r="W44" s="32"/>
      <c r="X44" s="32"/>
      <c r="Y44" s="32"/>
      <c r="AA44" s="51"/>
      <c r="AB44" s="51"/>
      <c r="AC44" s="51"/>
      <c r="AD44" s="51"/>
      <c r="AE44" s="51"/>
      <c r="AF44" s="51"/>
      <c r="AG44" s="51"/>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row>
    <row r="45" spans="1:209">
      <c r="A45" s="4">
        <v>1820</v>
      </c>
      <c r="B45" s="35">
        <f t="shared" si="0"/>
        <v>236.57811439289668</v>
      </c>
      <c r="C45" s="75"/>
      <c r="D45" s="32">
        <f t="shared" si="3"/>
        <v>289.89622917147602</v>
      </c>
      <c r="E45" s="32"/>
      <c r="F45" s="32"/>
      <c r="G45" s="32"/>
      <c r="H45" s="32"/>
      <c r="I45" s="32"/>
      <c r="J45" s="32"/>
      <c r="K45" s="32"/>
      <c r="L45" s="32"/>
      <c r="M45" s="32">
        <f>('Pm indices'!B44^'Pm wts'!B$15)*('Pm indices'!C44^'Pm wts'!C$15)*('Pm indices'!D44^'Pm wts'!D$15)</f>
        <v>207.73442027786891</v>
      </c>
      <c r="N45" s="32"/>
      <c r="O45" s="32"/>
      <c r="P45" s="32"/>
      <c r="Q45" s="32"/>
      <c r="R45" s="32"/>
      <c r="S45" s="32"/>
      <c r="T45" s="32"/>
      <c r="U45" s="32"/>
      <c r="V45" s="32"/>
      <c r="W45" s="32"/>
      <c r="X45" s="32"/>
      <c r="Y45" s="32"/>
      <c r="AA45" s="51"/>
      <c r="AB45" s="51"/>
      <c r="AC45" s="51"/>
      <c r="AD45" s="51"/>
      <c r="AE45" s="51"/>
      <c r="AF45" s="51"/>
      <c r="AG45" s="51"/>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row>
    <row r="46" spans="1:209">
      <c r="A46" s="4">
        <v>1821</v>
      </c>
      <c r="B46" s="35">
        <f t="shared" si="0"/>
        <v>218.80394017533786</v>
      </c>
      <c r="C46" s="75"/>
      <c r="D46" s="32">
        <f t="shared" si="3"/>
        <v>268.11625135936998</v>
      </c>
      <c r="E46" s="32"/>
      <c r="F46" s="32"/>
      <c r="G46" s="32"/>
      <c r="H46" s="32"/>
      <c r="I46" s="32"/>
      <c r="J46" s="32"/>
      <c r="K46" s="32"/>
      <c r="L46" s="32"/>
      <c r="M46" s="32">
        <f>('Pm indices'!B45^'Pm wts'!B$15)*('Pm indices'!C45^'Pm wts'!C$15)*('Pm indices'!D45^'Pm wts'!D$15)</f>
        <v>192.12728017330949</v>
      </c>
      <c r="N46" s="32">
        <f>('Pm indices'!B45^'Pm wts'!B$16)*('Pm indices'!C45^'Pm wts'!C$16)*('Pm indices'!D45^'Pm wts'!D$16)*('Pm indices'!G45^'Pm wts'!G$16)</f>
        <v>185.07592949246825</v>
      </c>
      <c r="O46" s="32"/>
      <c r="P46" s="32"/>
      <c r="Q46" s="32"/>
      <c r="R46" s="32"/>
      <c r="S46" s="32"/>
      <c r="T46" s="32"/>
      <c r="U46" s="32"/>
      <c r="V46" s="32"/>
      <c r="W46" s="32"/>
      <c r="X46" s="32"/>
      <c r="Y46" s="32"/>
      <c r="AA46" s="51"/>
      <c r="AB46" s="51"/>
      <c r="AC46" s="51"/>
      <c r="AD46" s="51"/>
      <c r="AE46" s="51"/>
      <c r="AF46" s="51"/>
      <c r="AG46" s="51"/>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row>
    <row r="47" spans="1:209">
      <c r="A47" s="4">
        <v>1822</v>
      </c>
      <c r="B47" s="35">
        <f t="shared" si="0"/>
        <v>202.94482078754558</v>
      </c>
      <c r="C47" s="75"/>
      <c r="D47" s="32">
        <f t="shared" ref="D47:D75" si="4">(N47/N$46)*D$46</f>
        <v>248.68292837300979</v>
      </c>
      <c r="E47" s="32"/>
      <c r="F47" s="32"/>
      <c r="G47" s="32"/>
      <c r="H47" s="32"/>
      <c r="I47" s="32"/>
      <c r="J47" s="32"/>
      <c r="K47" s="32"/>
      <c r="L47" s="32"/>
      <c r="M47" s="32"/>
      <c r="N47" s="32">
        <f>('Pm indices'!B46^'Pm wts'!B$16)*('Pm indices'!C46^'Pm wts'!C$16)*('Pm indices'!D46^'Pm wts'!D$16)*('Pm indices'!G46^'Pm wts'!G$16)</f>
        <v>171.6614486596477</v>
      </c>
      <c r="O47" s="32"/>
      <c r="P47" s="32"/>
      <c r="Q47" s="32"/>
      <c r="R47" s="32"/>
      <c r="S47" s="32"/>
      <c r="T47" s="32"/>
      <c r="U47" s="32"/>
      <c r="V47" s="32"/>
      <c r="W47" s="32"/>
      <c r="X47" s="32"/>
      <c r="Y47" s="32"/>
      <c r="AA47" s="51"/>
      <c r="AB47" s="51"/>
      <c r="AC47" s="51"/>
      <c r="AD47" s="51"/>
      <c r="AE47" s="51"/>
      <c r="AF47" s="51"/>
      <c r="AG47" s="51"/>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row>
    <row r="48" spans="1:209">
      <c r="A48" s="4">
        <v>1823</v>
      </c>
      <c r="B48" s="35">
        <f t="shared" si="0"/>
        <v>197.68986961696123</v>
      </c>
      <c r="C48" s="75"/>
      <c r="D48" s="32">
        <f t="shared" si="4"/>
        <v>242.24365763682209</v>
      </c>
      <c r="E48" s="32"/>
      <c r="F48" s="32"/>
      <c r="G48" s="32"/>
      <c r="H48" s="32"/>
      <c r="I48" s="32"/>
      <c r="J48" s="32"/>
      <c r="K48" s="32"/>
      <c r="L48" s="32"/>
      <c r="M48" s="32"/>
      <c r="N48" s="32">
        <f>('Pm indices'!B47^'Pm wts'!B$16)*('Pm indices'!C47^'Pm wts'!C$16)*('Pm indices'!D47^'Pm wts'!D$16)*('Pm indices'!G47^'Pm wts'!G$16)</f>
        <v>167.21653340101903</v>
      </c>
      <c r="O48" s="32"/>
      <c r="P48" s="32"/>
      <c r="Q48" s="32"/>
      <c r="R48" s="32"/>
      <c r="S48" s="32"/>
      <c r="T48" s="32"/>
      <c r="U48" s="32"/>
      <c r="V48" s="32"/>
      <c r="W48" s="32"/>
      <c r="X48" s="32"/>
      <c r="Y48" s="32"/>
      <c r="AA48" s="51"/>
      <c r="AB48" s="51"/>
      <c r="AC48" s="51"/>
      <c r="AD48" s="51"/>
      <c r="AE48" s="51"/>
      <c r="AF48" s="51"/>
      <c r="AG48" s="51"/>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row>
    <row r="49" spans="1:209">
      <c r="A49" s="4">
        <v>1824</v>
      </c>
      <c r="B49" s="35">
        <f t="shared" si="0"/>
        <v>188.25827592264815</v>
      </c>
      <c r="C49" s="75"/>
      <c r="D49" s="32">
        <f t="shared" si="4"/>
        <v>230.68644553343185</v>
      </c>
      <c r="E49" s="32"/>
      <c r="F49" s="32"/>
      <c r="G49" s="32"/>
      <c r="H49" s="32"/>
      <c r="I49" s="32"/>
      <c r="J49" s="32"/>
      <c r="K49" s="32"/>
      <c r="L49" s="32"/>
      <c r="M49" s="32"/>
      <c r="N49" s="32">
        <f>('Pm indices'!B48^'Pm wts'!B$16)*('Pm indices'!C48^'Pm wts'!C$16)*('Pm indices'!D48^'Pm wts'!D$16)*('Pm indices'!G48^'Pm wts'!G$16)</f>
        <v>159.23879329189899</v>
      </c>
      <c r="O49" s="32"/>
      <c r="P49" s="32"/>
      <c r="Q49" s="32"/>
      <c r="R49" s="32"/>
      <c r="S49" s="32"/>
      <c r="T49" s="32"/>
      <c r="U49" s="32"/>
      <c r="V49" s="32"/>
      <c r="W49" s="32"/>
      <c r="X49" s="32"/>
      <c r="Y49" s="32"/>
      <c r="AA49" s="51"/>
      <c r="AB49" s="51"/>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row>
    <row r="50" spans="1:209">
      <c r="A50" s="4">
        <v>1825</v>
      </c>
      <c r="B50" s="35">
        <f t="shared" ref="B50:B74" si="5">(GEOMEAN(D50:E50)/GEOMEAN(D$75:E$75))*B$75</f>
        <v>206.52296329814641</v>
      </c>
      <c r="C50" s="75"/>
      <c r="D50" s="32">
        <f t="shared" si="4"/>
        <v>253.06748450121808</v>
      </c>
      <c r="E50" s="32">
        <f>O50</f>
        <v>168.65832715138228</v>
      </c>
      <c r="F50" s="32"/>
      <c r="G50" s="32"/>
      <c r="H50" s="32"/>
      <c r="I50" s="32"/>
      <c r="J50" s="32"/>
      <c r="K50" s="32"/>
      <c r="L50" s="32"/>
      <c r="M50" s="32"/>
      <c r="N50" s="32">
        <f>('Pm indices'!B49^'Pm wts'!B$16)*('Pm indices'!C49^'Pm wts'!C$16)*('Pm indices'!D49^'Pm wts'!D$16)*('Pm indices'!G49^'Pm wts'!G$16)</f>
        <v>174.68803058717282</v>
      </c>
      <c r="O50" s="32">
        <f>('Pm indices'!B49^'Pm wts'!B$18)*('Pm indices'!C49^'Pm wts'!C$18)*('Pm indices'!D49^'Pm wts'!D$18)*('Pm indices'!G49^'Pm wts'!G$18)</f>
        <v>168.65832715138228</v>
      </c>
      <c r="P50" s="32"/>
      <c r="Q50" s="32"/>
      <c r="R50" s="32"/>
      <c r="S50" s="32"/>
      <c r="T50" s="32"/>
      <c r="U50" s="32"/>
      <c r="V50" s="32"/>
      <c r="W50" s="32"/>
      <c r="X50" s="32"/>
      <c r="Y50" s="32"/>
      <c r="AA50" s="51"/>
      <c r="AB50" s="51"/>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row>
    <row r="51" spans="1:209">
      <c r="A51" s="4">
        <v>1826</v>
      </c>
      <c r="B51" s="35">
        <f t="shared" si="5"/>
        <v>184.79050993993457</v>
      </c>
      <c r="C51" s="75"/>
      <c r="D51" s="32">
        <f t="shared" si="4"/>
        <v>225.45416227090141</v>
      </c>
      <c r="E51" s="32">
        <f t="shared" ref="E51:E87" si="6">O51</f>
        <v>151.56834592400929</v>
      </c>
      <c r="F51" s="32"/>
      <c r="G51" s="32"/>
      <c r="H51" s="32"/>
      <c r="I51" s="32"/>
      <c r="J51" s="32"/>
      <c r="K51" s="32"/>
      <c r="L51" s="32"/>
      <c r="M51" s="32"/>
      <c r="N51" s="32">
        <f>('Pm indices'!B50^'Pm wts'!B$16)*('Pm indices'!C50^'Pm wts'!C$16)*('Pm indices'!D50^'Pm wts'!D$16)*('Pm indices'!G50^'Pm wts'!G$16)</f>
        <v>155.62704024346945</v>
      </c>
      <c r="O51" s="32">
        <f>('Pm indices'!B50^'Pm wts'!B$18)*('Pm indices'!C50^'Pm wts'!C$18)*('Pm indices'!D50^'Pm wts'!D$18)*('Pm indices'!G50^'Pm wts'!G$18)</f>
        <v>151.56834592400929</v>
      </c>
      <c r="P51" s="32"/>
      <c r="Q51" s="32"/>
      <c r="R51" s="32"/>
      <c r="S51" s="32"/>
      <c r="T51" s="32"/>
      <c r="U51" s="32"/>
      <c r="V51" s="32"/>
      <c r="W51" s="32"/>
      <c r="X51" s="32"/>
      <c r="Y51" s="32"/>
      <c r="AA51" s="51"/>
      <c r="AB51" s="51"/>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row>
    <row r="52" spans="1:209">
      <c r="A52" s="4">
        <v>1827</v>
      </c>
      <c r="B52" s="35">
        <f t="shared" si="5"/>
        <v>168.90563252912384</v>
      </c>
      <c r="C52" s="75"/>
      <c r="D52" s="32">
        <f t="shared" si="4"/>
        <v>205.94390827908734</v>
      </c>
      <c r="E52" s="32">
        <f t="shared" si="6"/>
        <v>138.62665856686908</v>
      </c>
      <c r="F52" s="32"/>
      <c r="G52" s="32"/>
      <c r="H52" s="32"/>
      <c r="I52" s="32"/>
      <c r="J52" s="32"/>
      <c r="K52" s="32"/>
      <c r="L52" s="32"/>
      <c r="M52" s="32"/>
      <c r="N52" s="32">
        <f>('Pm indices'!B51^'Pm wts'!B$16)*('Pm indices'!C51^'Pm wts'!C$16)*('Pm indices'!D51^'Pm wts'!D$16)*('Pm indices'!G51^'Pm wts'!G$16)</f>
        <v>142.15945529156258</v>
      </c>
      <c r="O52" s="32">
        <f>('Pm indices'!B51^'Pm wts'!B$18)*('Pm indices'!C51^'Pm wts'!C$18)*('Pm indices'!D51^'Pm wts'!D$18)*('Pm indices'!G51^'Pm wts'!G$18)</f>
        <v>138.62665856686908</v>
      </c>
      <c r="P52" s="32"/>
      <c r="Q52" s="32"/>
      <c r="R52" s="32"/>
      <c r="S52" s="32"/>
      <c r="T52" s="32"/>
      <c r="U52" s="32"/>
      <c r="V52" s="32"/>
      <c r="W52" s="32"/>
      <c r="X52" s="32"/>
      <c r="Y52" s="32"/>
      <c r="AA52" s="51"/>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row>
    <row r="53" spans="1:209">
      <c r="A53" s="4">
        <v>1828</v>
      </c>
      <c r="B53" s="35">
        <f t="shared" si="5"/>
        <v>164.70776379359069</v>
      </c>
      <c r="C53" s="75"/>
      <c r="D53" s="32">
        <f t="shared" si="4"/>
        <v>200.70929463386395</v>
      </c>
      <c r="E53" s="32">
        <f t="shared" si="6"/>
        <v>135.25959974982433</v>
      </c>
      <c r="F53" s="32"/>
      <c r="G53" s="32"/>
      <c r="H53" s="32"/>
      <c r="I53" s="32"/>
      <c r="J53" s="32"/>
      <c r="K53" s="32"/>
      <c r="L53" s="32"/>
      <c r="M53" s="32"/>
      <c r="N53" s="32">
        <f>('Pm indices'!B52^'Pm wts'!B$16)*('Pm indices'!C52^'Pm wts'!C$16)*('Pm indices'!D52^'Pm wts'!D$16)*('Pm indices'!G52^'Pm wts'!G$16)</f>
        <v>138.54609362097463</v>
      </c>
      <c r="O53" s="32">
        <f>('Pm indices'!B52^'Pm wts'!B$18)*('Pm indices'!C52^'Pm wts'!C$18)*('Pm indices'!D52^'Pm wts'!D$18)*('Pm indices'!G52^'Pm wts'!G$18)</f>
        <v>135.25959974982433</v>
      </c>
      <c r="P53" s="32"/>
      <c r="Q53" s="32"/>
      <c r="R53" s="32"/>
      <c r="S53" s="32"/>
      <c r="T53" s="32"/>
      <c r="U53" s="32"/>
      <c r="V53" s="32"/>
      <c r="W53" s="32"/>
      <c r="X53" s="32"/>
      <c r="Y53" s="32"/>
      <c r="AA53" s="51"/>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row>
    <row r="54" spans="1:209">
      <c r="A54" s="4">
        <v>1829</v>
      </c>
      <c r="B54" s="35">
        <f t="shared" si="5"/>
        <v>154.99517425650245</v>
      </c>
      <c r="C54" s="75"/>
      <c r="D54" s="32">
        <f t="shared" si="4"/>
        <v>187.81111668706151</v>
      </c>
      <c r="E54" s="32">
        <f t="shared" si="6"/>
        <v>128.00369293898001</v>
      </c>
      <c r="F54" s="32"/>
      <c r="G54" s="32"/>
      <c r="H54" s="32"/>
      <c r="I54" s="32"/>
      <c r="J54" s="32"/>
      <c r="K54" s="32"/>
      <c r="L54" s="32"/>
      <c r="M54" s="32"/>
      <c r="N54" s="32">
        <f>('Pm indices'!B53^'Pm wts'!B$16)*('Pm indices'!C53^'Pm wts'!C$16)*('Pm indices'!D53^'Pm wts'!D$16)*('Pm indices'!G53^'Pm wts'!G$16)</f>
        <v>129.64270839102036</v>
      </c>
      <c r="O54" s="32">
        <f>('Pm indices'!B53^'Pm wts'!B$18)*('Pm indices'!C53^'Pm wts'!C$18)*('Pm indices'!D53^'Pm wts'!D$18)*('Pm indices'!G53^'Pm wts'!G$18)</f>
        <v>128.00369293898001</v>
      </c>
      <c r="P54" s="32"/>
      <c r="Q54" s="32"/>
      <c r="R54" s="32"/>
      <c r="S54" s="32"/>
      <c r="T54" s="32"/>
      <c r="U54" s="32"/>
      <c r="V54" s="32"/>
      <c r="W54" s="32"/>
      <c r="X54" s="32"/>
      <c r="Y54" s="32"/>
      <c r="AA54" s="51"/>
      <c r="AB54" s="51"/>
      <c r="AC54" s="51"/>
      <c r="AD54" s="51"/>
      <c r="AE54" s="51"/>
      <c r="AF54" s="51"/>
      <c r="AG54" s="51"/>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row>
    <row r="55" spans="1:209">
      <c r="A55" s="4">
        <v>1830</v>
      </c>
      <c r="B55" s="35">
        <f t="shared" si="5"/>
        <v>149.02384238345002</v>
      </c>
      <c r="C55" s="75"/>
      <c r="D55" s="32">
        <f t="shared" si="4"/>
        <v>180.824346194204</v>
      </c>
      <c r="E55" s="32">
        <f t="shared" si="6"/>
        <v>122.9028775344056</v>
      </c>
      <c r="F55" s="32"/>
      <c r="G55" s="32"/>
      <c r="H55" s="32"/>
      <c r="I55" s="32"/>
      <c r="J55" s="32"/>
      <c r="K55" s="32"/>
      <c r="L55" s="32"/>
      <c r="M55" s="32"/>
      <c r="N55" s="32">
        <f>('Pm indices'!B54^'Pm wts'!B$16)*('Pm indices'!C54^'Pm wts'!C$16)*('Pm indices'!D54^'Pm wts'!D$16)*('Pm indices'!G54^'Pm wts'!G$16)</f>
        <v>124.81986368630693</v>
      </c>
      <c r="O55" s="32">
        <f>('Pm indices'!B54^'Pm wts'!B$18)*('Pm indices'!C54^'Pm wts'!C$18)*('Pm indices'!D54^'Pm wts'!D$18)*('Pm indices'!G54^'Pm wts'!G$18)</f>
        <v>122.9028775344056</v>
      </c>
      <c r="P55" s="32"/>
      <c r="Q55" s="32"/>
      <c r="R55" s="32"/>
      <c r="S55" s="32"/>
      <c r="T55" s="32"/>
      <c r="U55" s="32"/>
      <c r="V55" s="32"/>
      <c r="W55" s="32"/>
      <c r="X55" s="32"/>
      <c r="Y55" s="32"/>
      <c r="AA55" s="51"/>
      <c r="AB55" s="51"/>
      <c r="AC55" s="51"/>
      <c r="AD55" s="51"/>
      <c r="AE55" s="51"/>
      <c r="AF55" s="51"/>
      <c r="AG55" s="51"/>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row>
    <row r="56" spans="1:209">
      <c r="A56" s="4">
        <v>1831</v>
      </c>
      <c r="B56" s="35">
        <f t="shared" si="5"/>
        <v>139.81415466545215</v>
      </c>
      <c r="C56" s="75"/>
      <c r="D56" s="32">
        <f t="shared" si="4"/>
        <v>169.21891787215557</v>
      </c>
      <c r="E56" s="32">
        <f t="shared" si="6"/>
        <v>115.60079208360482</v>
      </c>
      <c r="F56" s="32"/>
      <c r="G56" s="32"/>
      <c r="H56" s="32"/>
      <c r="I56" s="32"/>
      <c r="J56" s="32"/>
      <c r="K56" s="32"/>
      <c r="L56" s="32"/>
      <c r="M56" s="32"/>
      <c r="N56" s="32">
        <f>('Pm indices'!B55^'Pm wts'!B$16)*('Pm indices'!C55^'Pm wts'!C$16)*('Pm indices'!D55^'Pm wts'!D$16)*('Pm indices'!G55^'Pm wts'!G$16)</f>
        <v>116.80884077004809</v>
      </c>
      <c r="O56" s="32">
        <f>('Pm indices'!B55^'Pm wts'!B$18)*('Pm indices'!C55^'Pm wts'!C$18)*('Pm indices'!D55^'Pm wts'!D$18)*('Pm indices'!G55^'Pm wts'!G$18)</f>
        <v>115.60079208360482</v>
      </c>
      <c r="P56" s="32"/>
      <c r="Q56" s="32"/>
      <c r="R56" s="32"/>
      <c r="S56" s="32"/>
      <c r="T56" s="32"/>
      <c r="U56" s="32"/>
      <c r="V56" s="32"/>
      <c r="W56" s="32"/>
      <c r="X56" s="32"/>
      <c r="Y56" s="32"/>
      <c r="AA56" s="51"/>
      <c r="AB56" s="51"/>
      <c r="AC56" s="51"/>
      <c r="AD56" s="51"/>
      <c r="AE56" s="51"/>
      <c r="AF56" s="51"/>
      <c r="AG56" s="51"/>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row>
    <row r="57" spans="1:209">
      <c r="A57" s="4">
        <v>1832</v>
      </c>
      <c r="B57" s="35">
        <f t="shared" si="5"/>
        <v>143.89114296932595</v>
      </c>
      <c r="C57" s="75"/>
      <c r="D57" s="32">
        <f t="shared" si="4"/>
        <v>174.88923977889357</v>
      </c>
      <c r="E57" s="32">
        <f t="shared" si="6"/>
        <v>118.47111491681363</v>
      </c>
      <c r="F57" s="32"/>
      <c r="G57" s="32"/>
      <c r="H57" s="32"/>
      <c r="I57" s="32"/>
      <c r="J57" s="32"/>
      <c r="K57" s="32"/>
      <c r="L57" s="32"/>
      <c r="M57" s="32"/>
      <c r="N57" s="32">
        <f>('Pm indices'!B56^'Pm wts'!B$16)*('Pm indices'!C56^'Pm wts'!C$16)*('Pm indices'!D56^'Pm wts'!D$16)*('Pm indices'!G56^'Pm wts'!G$16)</f>
        <v>120.72296418513501</v>
      </c>
      <c r="O57" s="32">
        <f>('Pm indices'!B56^'Pm wts'!B$18)*('Pm indices'!C56^'Pm wts'!C$18)*('Pm indices'!D56^'Pm wts'!D$18)*('Pm indices'!G56^'Pm wts'!G$18)</f>
        <v>118.47111491681363</v>
      </c>
      <c r="P57" s="32"/>
      <c r="Q57" s="32"/>
      <c r="R57" s="32"/>
      <c r="S57" s="32"/>
      <c r="T57" s="32"/>
      <c r="U57" s="32"/>
      <c r="V57" s="32"/>
      <c r="W57" s="32"/>
      <c r="X57" s="32"/>
      <c r="Y57" s="32"/>
      <c r="AA57" s="51"/>
      <c r="AB57" s="51"/>
      <c r="AC57" s="51"/>
      <c r="AD57" s="51"/>
      <c r="AE57" s="51"/>
      <c r="AF57" s="51"/>
      <c r="AG57" s="51"/>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row>
    <row r="58" spans="1:209">
      <c r="A58" s="4">
        <v>1833</v>
      </c>
      <c r="B58" s="35">
        <f t="shared" si="5"/>
        <v>142.9076944865057</v>
      </c>
      <c r="C58" s="75"/>
      <c r="D58" s="32">
        <f t="shared" si="4"/>
        <v>172.75490245820353</v>
      </c>
      <c r="E58" s="32">
        <f t="shared" si="6"/>
        <v>118.30096462395107</v>
      </c>
      <c r="F58" s="32"/>
      <c r="G58" s="32"/>
      <c r="H58" s="32"/>
      <c r="I58" s="32"/>
      <c r="J58" s="32"/>
      <c r="K58" s="32"/>
      <c r="L58" s="32"/>
      <c r="M58" s="32"/>
      <c r="N58" s="32">
        <f>('Pm indices'!B57^'Pm wts'!B$16)*('Pm indices'!C57^'Pm wts'!C$16)*('Pm indices'!D57^'Pm wts'!D$16)*('Pm indices'!G57^'Pm wts'!G$16)</f>
        <v>119.24966869679957</v>
      </c>
      <c r="O58" s="32">
        <f>('Pm indices'!B57^'Pm wts'!B$18)*('Pm indices'!C57^'Pm wts'!C$18)*('Pm indices'!D57^'Pm wts'!D$18)*('Pm indices'!G57^'Pm wts'!G$18)</f>
        <v>118.30096462395107</v>
      </c>
      <c r="P58" s="32"/>
      <c r="Q58" s="32"/>
      <c r="R58" s="32"/>
      <c r="S58" s="32"/>
      <c r="T58" s="32"/>
      <c r="U58" s="32"/>
      <c r="V58" s="32"/>
      <c r="W58" s="32"/>
      <c r="X58" s="32"/>
      <c r="Y58" s="32"/>
      <c r="AA58" s="51"/>
      <c r="AB58" s="51"/>
      <c r="AC58" s="51"/>
      <c r="AD58" s="51"/>
      <c r="AE58" s="51"/>
      <c r="AF58" s="51"/>
      <c r="AG58" s="51"/>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row>
    <row r="59" spans="1:209">
      <c r="A59" s="4">
        <v>1834</v>
      </c>
      <c r="B59" s="35">
        <f t="shared" si="5"/>
        <v>146.42871727316529</v>
      </c>
      <c r="C59" s="75"/>
      <c r="D59" s="32">
        <f t="shared" si="4"/>
        <v>176.31045002700685</v>
      </c>
      <c r="E59" s="32">
        <f t="shared" si="6"/>
        <v>121.69756894332613</v>
      </c>
      <c r="F59" s="32"/>
      <c r="G59" s="32"/>
      <c r="H59" s="32"/>
      <c r="I59" s="32"/>
      <c r="J59" s="32"/>
      <c r="K59" s="32"/>
      <c r="L59" s="32"/>
      <c r="M59" s="32"/>
      <c r="N59" s="32">
        <f>('Pm indices'!B58^'Pm wts'!B$16)*('Pm indices'!C58^'Pm wts'!C$16)*('Pm indices'!D58^'Pm wts'!D$16)*('Pm indices'!G58^'Pm wts'!G$16)</f>
        <v>121.7040006062404</v>
      </c>
      <c r="O59" s="32">
        <f>('Pm indices'!B58^'Pm wts'!B$18)*('Pm indices'!C58^'Pm wts'!C$18)*('Pm indices'!D58^'Pm wts'!D$18)*('Pm indices'!G58^'Pm wts'!G$18)</f>
        <v>121.69756894332613</v>
      </c>
      <c r="P59" s="32"/>
      <c r="Q59" s="32"/>
      <c r="R59" s="32"/>
      <c r="S59" s="32"/>
      <c r="T59" s="32"/>
      <c r="U59" s="32"/>
      <c r="V59" s="32"/>
      <c r="W59" s="32"/>
      <c r="X59" s="32"/>
      <c r="Y59" s="32"/>
      <c r="AA59" s="51"/>
      <c r="AB59" s="51"/>
      <c r="AC59" s="51"/>
      <c r="AD59" s="51"/>
      <c r="AE59" s="51"/>
      <c r="AF59" s="51"/>
      <c r="AG59" s="51"/>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row>
    <row r="60" spans="1:209">
      <c r="A60" s="4">
        <v>1835</v>
      </c>
      <c r="B60" s="35">
        <f t="shared" si="5"/>
        <v>151.94878391855332</v>
      </c>
      <c r="C60" s="75"/>
      <c r="D60" s="32">
        <f t="shared" si="4"/>
        <v>183.57651250626412</v>
      </c>
      <c r="E60" s="32">
        <f t="shared" si="6"/>
        <v>125.8591467269456</v>
      </c>
      <c r="F60" s="32"/>
      <c r="G60" s="32"/>
      <c r="H60" s="32"/>
      <c r="I60" s="32"/>
      <c r="J60" s="32"/>
      <c r="K60" s="32"/>
      <c r="L60" s="32"/>
      <c r="M60" s="32"/>
      <c r="N60" s="32">
        <f>('Pm indices'!B59^'Pm wts'!B$16)*('Pm indices'!C59^'Pm wts'!C$16)*('Pm indices'!D59^'Pm wts'!D$16)*('Pm indices'!G59^'Pm wts'!G$16)</f>
        <v>126.7196356536528</v>
      </c>
      <c r="O60" s="32">
        <f>('Pm indices'!B59^'Pm wts'!B$18)*('Pm indices'!C59^'Pm wts'!C$18)*('Pm indices'!D59^'Pm wts'!D$18)*('Pm indices'!G59^'Pm wts'!G$18)</f>
        <v>125.8591467269456</v>
      </c>
      <c r="P60" s="32"/>
      <c r="Q60" s="32"/>
      <c r="R60" s="32"/>
      <c r="S60" s="32"/>
      <c r="T60" s="32"/>
      <c r="U60" s="32"/>
      <c r="V60" s="32"/>
      <c r="W60" s="32"/>
      <c r="X60" s="32"/>
      <c r="Y60" s="32"/>
      <c r="AA60" s="51"/>
      <c r="AB60" s="51"/>
      <c r="AC60" s="51"/>
      <c r="AD60" s="51"/>
      <c r="AE60" s="51"/>
      <c r="AF60" s="51"/>
      <c r="AG60" s="51"/>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row>
    <row r="61" spans="1:209">
      <c r="A61" s="4">
        <v>1836</v>
      </c>
      <c r="B61" s="35">
        <f t="shared" si="5"/>
        <v>160.44291292003183</v>
      </c>
      <c r="C61" s="75"/>
      <c r="D61" s="32">
        <f t="shared" si="4"/>
        <v>193.25929218503728</v>
      </c>
      <c r="E61" s="32">
        <f t="shared" si="6"/>
        <v>133.29324246868106</v>
      </c>
      <c r="F61" s="32"/>
      <c r="G61" s="32"/>
      <c r="H61" s="32"/>
      <c r="I61" s="32"/>
      <c r="J61" s="32"/>
      <c r="K61" s="32"/>
      <c r="L61" s="32"/>
      <c r="M61" s="32"/>
      <c r="N61" s="32">
        <f>('Pm indices'!B60^'Pm wts'!B$16)*('Pm indices'!C60^'Pm wts'!C$16)*('Pm indices'!D60^'Pm wts'!D$16)*('Pm indices'!G60^'Pm wts'!G$16)</f>
        <v>133.40348804989472</v>
      </c>
      <c r="O61" s="32">
        <f>('Pm indices'!B60^'Pm wts'!B$18)*('Pm indices'!C60^'Pm wts'!C$18)*('Pm indices'!D60^'Pm wts'!D$18)*('Pm indices'!G60^'Pm wts'!G$18)</f>
        <v>133.29324246868106</v>
      </c>
      <c r="P61" s="32"/>
      <c r="Q61" s="32"/>
      <c r="R61" s="32"/>
      <c r="S61" s="32"/>
      <c r="T61" s="32"/>
      <c r="U61" s="32"/>
      <c r="V61" s="32"/>
      <c r="W61" s="32"/>
      <c r="X61" s="32"/>
      <c r="Y61" s="32"/>
      <c r="AA61" s="51"/>
      <c r="AB61" s="51"/>
      <c r="AC61" s="51"/>
      <c r="AD61" s="51"/>
      <c r="AE61" s="51"/>
      <c r="AF61" s="51"/>
      <c r="AG61" s="51"/>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row>
    <row r="62" spans="1:209">
      <c r="A62" s="4">
        <v>1837</v>
      </c>
      <c r="B62" s="35">
        <f t="shared" si="5"/>
        <v>146.95566388072703</v>
      </c>
      <c r="C62" s="75"/>
      <c r="D62" s="32">
        <f t="shared" si="4"/>
        <v>176.99279296288918</v>
      </c>
      <c r="E62" s="32">
        <f t="shared" si="6"/>
        <v>122.10248886477736</v>
      </c>
      <c r="F62" s="32"/>
      <c r="G62" s="32"/>
      <c r="H62" s="32"/>
      <c r="I62" s="32"/>
      <c r="J62" s="32"/>
      <c r="K62" s="32"/>
      <c r="L62" s="32"/>
      <c r="M62" s="32"/>
      <c r="N62" s="32">
        <f>('Pm indices'!B61^'Pm wts'!B$16)*('Pm indices'!C61^'Pm wts'!C$16)*('Pm indices'!D61^'Pm wts'!D$16)*('Pm indices'!G61^'Pm wts'!G$16)</f>
        <v>122.17500992570821</v>
      </c>
      <c r="O62" s="32">
        <f>('Pm indices'!B61^'Pm wts'!B$18)*('Pm indices'!C61^'Pm wts'!C$18)*('Pm indices'!D61^'Pm wts'!D$18)*('Pm indices'!G61^'Pm wts'!G$18)</f>
        <v>122.10248886477736</v>
      </c>
      <c r="P62" s="32"/>
      <c r="Q62" s="32"/>
      <c r="R62" s="32"/>
      <c r="S62" s="32"/>
      <c r="T62" s="32"/>
      <c r="U62" s="32"/>
      <c r="V62" s="32"/>
      <c r="W62" s="32"/>
      <c r="X62" s="32"/>
      <c r="Y62" s="32"/>
      <c r="AA62" s="51"/>
      <c r="AB62" s="51"/>
      <c r="AC62" s="51"/>
      <c r="AD62" s="51"/>
      <c r="AE62" s="51"/>
      <c r="AF62" s="51"/>
      <c r="AG62" s="51"/>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row>
    <row r="63" spans="1:209">
      <c r="A63" s="4">
        <v>1838</v>
      </c>
      <c r="B63" s="35">
        <f t="shared" si="5"/>
        <v>134.79597911413867</v>
      </c>
      <c r="C63" s="75"/>
      <c r="D63" s="32">
        <f t="shared" si="4"/>
        <v>161.08147316918331</v>
      </c>
      <c r="E63" s="32">
        <f t="shared" si="6"/>
        <v>112.8796679789565</v>
      </c>
      <c r="F63" s="32"/>
      <c r="G63" s="32"/>
      <c r="H63" s="32"/>
      <c r="I63" s="32"/>
      <c r="J63" s="32"/>
      <c r="K63" s="32"/>
      <c r="L63" s="32"/>
      <c r="M63" s="32"/>
      <c r="N63" s="32">
        <f>('Pm indices'!B62^'Pm wts'!B$16)*('Pm indices'!C62^'Pm wts'!C$16)*('Pm indices'!D62^'Pm wts'!D$16)*('Pm indices'!G62^'Pm wts'!G$16)</f>
        <v>111.19170590985074</v>
      </c>
      <c r="O63" s="32">
        <f>('Pm indices'!B62^'Pm wts'!B$18)*('Pm indices'!C62^'Pm wts'!C$18)*('Pm indices'!D62^'Pm wts'!D$18)*('Pm indices'!G62^'Pm wts'!G$18)</f>
        <v>112.8796679789565</v>
      </c>
      <c r="P63" s="32"/>
      <c r="Q63" s="32"/>
      <c r="R63" s="32"/>
      <c r="S63" s="32"/>
      <c r="T63" s="32"/>
      <c r="U63" s="32"/>
      <c r="V63" s="32"/>
      <c r="W63" s="32"/>
      <c r="X63" s="32"/>
      <c r="Y63" s="32"/>
      <c r="AA63" s="51"/>
      <c r="AB63" s="51"/>
      <c r="AC63" s="51"/>
      <c r="AD63" s="51"/>
      <c r="AE63" s="51"/>
      <c r="AF63" s="51"/>
      <c r="AG63" s="51"/>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row>
    <row r="64" spans="1:209">
      <c r="A64" s="4">
        <v>1839</v>
      </c>
      <c r="B64" s="35">
        <f t="shared" si="5"/>
        <v>140.52528313957842</v>
      </c>
      <c r="C64" s="75"/>
      <c r="D64" s="32">
        <f t="shared" si="4"/>
        <v>169.06118018837569</v>
      </c>
      <c r="E64" s="32">
        <f t="shared" si="6"/>
        <v>116.88868759194297</v>
      </c>
      <c r="F64" s="32"/>
      <c r="G64" s="32"/>
      <c r="H64" s="32"/>
      <c r="I64" s="32"/>
      <c r="J64" s="32"/>
      <c r="K64" s="32"/>
      <c r="L64" s="32"/>
      <c r="M64" s="32"/>
      <c r="N64" s="32">
        <f>('Pm indices'!B63^'Pm wts'!B$16)*('Pm indices'!C63^'Pm wts'!C$16)*('Pm indices'!D63^'Pm wts'!D$16)*('Pm indices'!G63^'Pm wts'!G$16)</f>
        <v>116.69995722310331</v>
      </c>
      <c r="O64" s="32">
        <f>('Pm indices'!B63^'Pm wts'!B$18)*('Pm indices'!C63^'Pm wts'!C$18)*('Pm indices'!D63^'Pm wts'!D$18)*('Pm indices'!G63^'Pm wts'!G$18)</f>
        <v>116.88868759194297</v>
      </c>
      <c r="P64" s="32"/>
      <c r="Q64" s="32"/>
      <c r="R64" s="32"/>
      <c r="S64" s="32"/>
      <c r="T64" s="32"/>
      <c r="U64" s="32"/>
      <c r="V64" s="32"/>
      <c r="W64" s="32"/>
      <c r="X64" s="32"/>
      <c r="Y64" s="32"/>
      <c r="AA64" s="51"/>
      <c r="AB64" s="51"/>
      <c r="AC64" s="51"/>
      <c r="AD64" s="51"/>
      <c r="AE64" s="51"/>
      <c r="AF64" s="51"/>
      <c r="AG64" s="51"/>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row>
    <row r="65" spans="1:209">
      <c r="A65" s="4">
        <v>1840</v>
      </c>
      <c r="B65" s="35">
        <f t="shared" si="5"/>
        <v>128.52935263749609</v>
      </c>
      <c r="C65" s="75"/>
      <c r="D65" s="32">
        <f t="shared" si="4"/>
        <v>152.9408878683914</v>
      </c>
      <c r="E65" s="32">
        <f t="shared" si="6"/>
        <v>108.09073601015361</v>
      </c>
      <c r="F65" s="32"/>
      <c r="G65" s="32"/>
      <c r="H65" s="32"/>
      <c r="I65" s="32"/>
      <c r="J65" s="32"/>
      <c r="K65" s="32"/>
      <c r="L65" s="32"/>
      <c r="M65" s="32"/>
      <c r="N65" s="32">
        <f>('Pm indices'!B64^'Pm wts'!B$16)*('Pm indices'!C64^'Pm wts'!C$16)*('Pm indices'!D64^'Pm wts'!D$16)*('Pm indices'!G64^'Pm wts'!G$16)</f>
        <v>105.57240315025273</v>
      </c>
      <c r="O65" s="32">
        <f>('Pm indices'!B64^'Pm wts'!B$18)*('Pm indices'!C64^'Pm wts'!C$18)*('Pm indices'!D64^'Pm wts'!D$18)*('Pm indices'!G64^'Pm wts'!G$18)</f>
        <v>108.09073601015361</v>
      </c>
      <c r="P65" s="32"/>
      <c r="Q65" s="32"/>
      <c r="R65" s="32"/>
      <c r="S65" s="32"/>
      <c r="T65" s="32"/>
      <c r="U65" s="32"/>
      <c r="V65" s="32"/>
      <c r="W65" s="32"/>
      <c r="X65" s="32"/>
      <c r="Y65" s="32"/>
      <c r="AA65" s="51"/>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row>
    <row r="66" spans="1:209">
      <c r="A66" s="4">
        <v>1841</v>
      </c>
      <c r="B66" s="35">
        <f t="shared" si="5"/>
        <v>128.85071773202384</v>
      </c>
      <c r="C66" s="75"/>
      <c r="D66" s="32">
        <f t="shared" si="4"/>
        <v>153.64648376179733</v>
      </c>
      <c r="E66" s="32">
        <f t="shared" si="6"/>
        <v>108.13306151608896</v>
      </c>
      <c r="F66" s="32"/>
      <c r="G66" s="32"/>
      <c r="H66" s="32"/>
      <c r="I66" s="32"/>
      <c r="J66" s="32"/>
      <c r="K66" s="32"/>
      <c r="L66" s="32"/>
      <c r="M66" s="32"/>
      <c r="N66" s="32">
        <f>('Pm indices'!B65^'Pm wts'!B$16)*('Pm indices'!C65^'Pm wts'!C$16)*('Pm indices'!D65^'Pm wts'!D$16)*('Pm indices'!G65^'Pm wts'!G$16)</f>
        <v>106.0594635770492</v>
      </c>
      <c r="O66" s="32">
        <f>('Pm indices'!B65^'Pm wts'!B$18)*('Pm indices'!C65^'Pm wts'!C$18)*('Pm indices'!D65^'Pm wts'!D$18)*('Pm indices'!G65^'Pm wts'!G$18)</f>
        <v>108.13306151608896</v>
      </c>
      <c r="P66" s="32"/>
      <c r="Q66" s="32"/>
      <c r="R66" s="32"/>
      <c r="S66" s="32"/>
      <c r="T66" s="32"/>
      <c r="U66" s="32"/>
      <c r="V66" s="32"/>
      <c r="W66" s="32"/>
      <c r="X66" s="32"/>
      <c r="Y66" s="32"/>
      <c r="AA66" s="51"/>
      <c r="AB66" s="51"/>
      <c r="AC66" s="51"/>
      <c r="AD66" s="51"/>
      <c r="AE66" s="51"/>
      <c r="AF66" s="51"/>
      <c r="AG66" s="51"/>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row>
    <row r="67" spans="1:209">
      <c r="A67" s="4">
        <v>1842</v>
      </c>
      <c r="B67" s="35">
        <f t="shared" si="5"/>
        <v>120.2393071266815</v>
      </c>
      <c r="C67" s="75"/>
      <c r="D67" s="32">
        <f t="shared" si="4"/>
        <v>142.89407908210927</v>
      </c>
      <c r="E67" s="32">
        <f t="shared" si="6"/>
        <v>101.24792628306936</v>
      </c>
      <c r="F67" s="32"/>
      <c r="G67" s="32"/>
      <c r="H67" s="32"/>
      <c r="I67" s="32"/>
      <c r="J67" s="32"/>
      <c r="K67" s="32"/>
      <c r="L67" s="32"/>
      <c r="M67" s="32"/>
      <c r="N67" s="32">
        <f>('Pm indices'!B66^'Pm wts'!B$16)*('Pm indices'!C66^'Pm wts'!C$16)*('Pm indices'!D66^'Pm wts'!D$16)*('Pm indices'!G66^'Pm wts'!G$16)</f>
        <v>98.637267867975538</v>
      </c>
      <c r="O67" s="32">
        <f>('Pm indices'!B66^'Pm wts'!B$18)*('Pm indices'!C66^'Pm wts'!C$18)*('Pm indices'!D66^'Pm wts'!D$18)*('Pm indices'!G66^'Pm wts'!G$18)</f>
        <v>101.24792628306936</v>
      </c>
      <c r="P67" s="32"/>
      <c r="Q67" s="32"/>
      <c r="R67" s="32"/>
      <c r="S67" s="32"/>
      <c r="T67" s="32"/>
      <c r="U67" s="32"/>
      <c r="V67" s="32"/>
      <c r="W67" s="32"/>
      <c r="X67" s="32"/>
      <c r="Y67" s="32"/>
      <c r="AA67" s="51"/>
      <c r="AB67" s="51"/>
      <c r="AC67" s="51"/>
      <c r="AD67" s="51"/>
      <c r="AE67" s="51"/>
      <c r="AF67" s="51"/>
      <c r="AG67" s="51"/>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row>
    <row r="68" spans="1:209">
      <c r="A68" s="4">
        <v>1843</v>
      </c>
      <c r="B68" s="35">
        <f t="shared" si="5"/>
        <v>111.18318367616929</v>
      </c>
      <c r="C68" s="75"/>
      <c r="D68" s="32">
        <f t="shared" si="4"/>
        <v>130.60867839056999</v>
      </c>
      <c r="E68" s="32">
        <f t="shared" si="6"/>
        <v>94.713877653666401</v>
      </c>
      <c r="F68" s="32"/>
      <c r="G68" s="32"/>
      <c r="H68" s="32"/>
      <c r="I68" s="32"/>
      <c r="J68" s="32"/>
      <c r="K68" s="32"/>
      <c r="L68" s="32"/>
      <c r="M68" s="32"/>
      <c r="N68" s="32">
        <f>('Pm indices'!B67^'Pm wts'!B$16)*('Pm indices'!C67^'Pm wts'!C$16)*('Pm indices'!D67^'Pm wts'!D$16)*('Pm indices'!G67^'Pm wts'!G$16)</f>
        <v>90.156871992507163</v>
      </c>
      <c r="O68" s="32">
        <f>('Pm indices'!B67^'Pm wts'!B$18)*('Pm indices'!C67^'Pm wts'!C$18)*('Pm indices'!D67^'Pm wts'!D$18)*('Pm indices'!G67^'Pm wts'!G$18)</f>
        <v>94.713877653666401</v>
      </c>
      <c r="P68" s="32"/>
      <c r="Q68" s="32"/>
      <c r="R68" s="32"/>
      <c r="S68" s="32"/>
      <c r="T68" s="32"/>
      <c r="U68" s="32"/>
      <c r="V68" s="32"/>
      <c r="W68" s="32"/>
      <c r="X68" s="32"/>
      <c r="Y68" s="32"/>
      <c r="AA68" s="51"/>
      <c r="AB68" s="51"/>
      <c r="AC68" s="51"/>
      <c r="AD68" s="51"/>
      <c r="AE68" s="51"/>
      <c r="AF68" s="51"/>
      <c r="AG68" s="51"/>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row>
    <row r="69" spans="1:209">
      <c r="A69" s="4">
        <v>1844</v>
      </c>
      <c r="B69" s="35">
        <f t="shared" si="5"/>
        <v>113.74862103509307</v>
      </c>
      <c r="C69" s="75"/>
      <c r="D69" s="32">
        <f t="shared" si="4"/>
        <v>132.93160801047341</v>
      </c>
      <c r="E69" s="32">
        <f t="shared" si="6"/>
        <v>97.402804920750071</v>
      </c>
      <c r="F69" s="32"/>
      <c r="G69" s="32"/>
      <c r="H69" s="32"/>
      <c r="I69" s="32"/>
      <c r="J69" s="32"/>
      <c r="K69" s="32"/>
      <c r="L69" s="32"/>
      <c r="M69" s="32"/>
      <c r="N69" s="32">
        <f>('Pm indices'!B68^'Pm wts'!B$16)*('Pm indices'!C68^'Pm wts'!C$16)*('Pm indices'!D68^'Pm wts'!D$16)*('Pm indices'!G68^'Pm wts'!G$16)</f>
        <v>91.760349425782806</v>
      </c>
      <c r="O69" s="32">
        <f>('Pm indices'!B68^'Pm wts'!B$18)*('Pm indices'!C68^'Pm wts'!C$18)*('Pm indices'!D68^'Pm wts'!D$18)*('Pm indices'!G68^'Pm wts'!G$18)</f>
        <v>97.402804920750071</v>
      </c>
      <c r="P69" s="32"/>
      <c r="Q69" s="32"/>
      <c r="R69" s="32"/>
      <c r="S69" s="32"/>
      <c r="T69" s="32"/>
      <c r="U69" s="32"/>
      <c r="V69" s="32"/>
      <c r="W69" s="32"/>
      <c r="X69" s="32"/>
      <c r="Y69" s="32"/>
      <c r="AA69" s="51"/>
      <c r="AB69" s="51"/>
      <c r="AC69" s="51"/>
      <c r="AD69" s="51"/>
      <c r="AE69" s="51"/>
      <c r="AF69" s="51"/>
      <c r="AG69" s="51"/>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row>
    <row r="70" spans="1:209">
      <c r="A70" s="4">
        <v>1845</v>
      </c>
      <c r="B70" s="35">
        <f t="shared" si="5"/>
        <v>115.77343590245148</v>
      </c>
      <c r="C70" s="75"/>
      <c r="D70" s="32">
        <f t="shared" si="4"/>
        <v>135.41426307811668</v>
      </c>
      <c r="E70" s="32">
        <f t="shared" si="6"/>
        <v>99.051458546209929</v>
      </c>
      <c r="F70" s="32"/>
      <c r="G70" s="32"/>
      <c r="H70" s="32"/>
      <c r="I70" s="32"/>
      <c r="J70" s="32"/>
      <c r="K70" s="32"/>
      <c r="L70" s="32"/>
      <c r="M70" s="32"/>
      <c r="N70" s="32">
        <f>('Pm indices'!B69^'Pm wts'!B$16)*('Pm indices'!C69^'Pm wts'!C$16)*('Pm indices'!D69^'Pm wts'!D$16)*('Pm indices'!G69^'Pm wts'!G$16)</f>
        <v>93.474082524480366</v>
      </c>
      <c r="O70" s="32">
        <f>('Pm indices'!B69^'Pm wts'!B$18)*('Pm indices'!C69^'Pm wts'!C$18)*('Pm indices'!D69^'Pm wts'!D$18)*('Pm indices'!G69^'Pm wts'!G$18)</f>
        <v>99.051458546209929</v>
      </c>
      <c r="P70" s="32"/>
      <c r="Q70" s="32"/>
      <c r="R70" s="32"/>
      <c r="S70" s="32"/>
      <c r="T70" s="32"/>
      <c r="U70" s="32"/>
      <c r="V70" s="32"/>
      <c r="W70" s="32"/>
      <c r="X70" s="32"/>
      <c r="Y70" s="32"/>
      <c r="AA70" s="51"/>
      <c r="AB70" s="51"/>
      <c r="AC70" s="51"/>
      <c r="AD70" s="51"/>
      <c r="AE70" s="51"/>
      <c r="AF70" s="51"/>
      <c r="AG70" s="51"/>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row>
    <row r="71" spans="1:209">
      <c r="A71" s="4">
        <v>1846</v>
      </c>
      <c r="B71" s="35">
        <f t="shared" si="5"/>
        <v>115.28815025891275</v>
      </c>
      <c r="C71" s="75"/>
      <c r="D71" s="32">
        <f t="shared" si="4"/>
        <v>134.38979161969223</v>
      </c>
      <c r="E71" s="32">
        <f t="shared" si="6"/>
        <v>98.971579823782875</v>
      </c>
      <c r="F71" s="32"/>
      <c r="G71" s="32"/>
      <c r="H71" s="32"/>
      <c r="I71" s="32"/>
      <c r="J71" s="32"/>
      <c r="K71" s="32"/>
      <c r="L71" s="32"/>
      <c r="M71" s="32"/>
      <c r="N71" s="32">
        <f>('Pm indices'!B70^'Pm wts'!B$16)*('Pm indices'!C70^'Pm wts'!C$16)*('Pm indices'!D70^'Pm wts'!D$16)*('Pm indices'!G70^'Pm wts'!G$16)</f>
        <v>92.766907907331642</v>
      </c>
      <c r="O71" s="32">
        <f>('Pm indices'!B70^'Pm wts'!B$18)*('Pm indices'!C70^'Pm wts'!C$18)*('Pm indices'!D70^'Pm wts'!D$18)*('Pm indices'!G70^'Pm wts'!G$18)</f>
        <v>98.971579823782875</v>
      </c>
      <c r="P71" s="32"/>
      <c r="Q71" s="32"/>
      <c r="R71" s="32"/>
      <c r="S71" s="32"/>
      <c r="T71" s="32"/>
      <c r="U71" s="32"/>
      <c r="V71" s="32"/>
      <c r="W71" s="32"/>
      <c r="X71" s="32"/>
      <c r="Y71" s="32"/>
      <c r="AA71" s="51"/>
      <c r="AB71" s="51"/>
      <c r="AC71" s="51"/>
      <c r="AD71" s="51"/>
      <c r="AE71" s="51"/>
      <c r="AF71" s="51"/>
      <c r="AG71" s="51"/>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row>
    <row r="72" spans="1:209">
      <c r="A72" s="4">
        <v>1847</v>
      </c>
      <c r="B72" s="35">
        <f t="shared" si="5"/>
        <v>117.87356069582202</v>
      </c>
      <c r="C72" s="75"/>
      <c r="D72" s="32">
        <f t="shared" si="4"/>
        <v>140.25973492379637</v>
      </c>
      <c r="E72" s="32">
        <f t="shared" si="6"/>
        <v>99.130485374335734</v>
      </c>
      <c r="F72" s="32"/>
      <c r="G72" s="32"/>
      <c r="H72" s="32"/>
      <c r="I72" s="32"/>
      <c r="J72" s="32"/>
      <c r="K72" s="32"/>
      <c r="L72" s="32"/>
      <c r="M72" s="32"/>
      <c r="N72" s="32">
        <f>('Pm indices'!B71^'Pm wts'!B$16)*('Pm indices'!C71^'Pm wts'!C$16)*('Pm indices'!D71^'Pm wts'!D$16)*('Pm indices'!G71^'Pm wts'!G$16)</f>
        <v>96.818826459702507</v>
      </c>
      <c r="O72" s="32">
        <f>('Pm indices'!B71^'Pm wts'!B$18)*('Pm indices'!C71^'Pm wts'!C$18)*('Pm indices'!D71^'Pm wts'!D$18)*('Pm indices'!G71^'Pm wts'!G$18)</f>
        <v>99.130485374335734</v>
      </c>
      <c r="P72" s="32"/>
      <c r="Q72" s="32"/>
      <c r="R72" s="32"/>
      <c r="S72" s="32"/>
      <c r="T72" s="32"/>
      <c r="U72" s="32"/>
      <c r="V72" s="32"/>
      <c r="W72" s="32"/>
      <c r="X72" s="32"/>
      <c r="Y72" s="32"/>
      <c r="AA72" s="51"/>
      <c r="AB72" s="51"/>
      <c r="AC72" s="51"/>
      <c r="AD72" s="51"/>
      <c r="AE72" s="51"/>
      <c r="AF72" s="51"/>
      <c r="AG72" s="51"/>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row>
    <row r="73" spans="1:209">
      <c r="A73" s="4">
        <v>1848</v>
      </c>
      <c r="B73" s="35">
        <f t="shared" si="5"/>
        <v>106.30067887391252</v>
      </c>
      <c r="C73" s="75"/>
      <c r="D73" s="32">
        <f t="shared" si="4"/>
        <v>124.67931892391157</v>
      </c>
      <c r="E73" s="32">
        <f t="shared" si="6"/>
        <v>90.69536559530107</v>
      </c>
      <c r="F73" s="32"/>
      <c r="G73" s="32"/>
      <c r="H73" s="32"/>
      <c r="I73" s="32"/>
      <c r="J73" s="32"/>
      <c r="K73" s="32"/>
      <c r="L73" s="32"/>
      <c r="M73" s="32"/>
      <c r="N73" s="32">
        <f>('Pm indices'!B72^'Pm wts'!B$16)*('Pm indices'!C72^'Pm wts'!C$16)*('Pm indices'!D72^'Pm wts'!D$16)*('Pm indices'!G72^'Pm wts'!G$16)</f>
        <v>86.063939508843958</v>
      </c>
      <c r="O73" s="32">
        <f>('Pm indices'!B72^'Pm wts'!B$18)*('Pm indices'!C72^'Pm wts'!C$18)*('Pm indices'!D72^'Pm wts'!D$18)*('Pm indices'!G72^'Pm wts'!G$18)</f>
        <v>90.69536559530107</v>
      </c>
      <c r="P73" s="32"/>
      <c r="Q73" s="32"/>
      <c r="R73" s="32"/>
      <c r="S73" s="32"/>
      <c r="T73" s="32"/>
      <c r="U73" s="32"/>
      <c r="V73" s="32"/>
      <c r="W73" s="32"/>
      <c r="X73" s="32"/>
      <c r="Y73" s="32"/>
      <c r="AA73" s="51"/>
      <c r="AB73" s="51"/>
      <c r="AC73" s="51"/>
      <c r="AD73" s="51"/>
      <c r="AE73" s="51"/>
      <c r="AF73" s="51"/>
      <c r="AG73" s="51"/>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row>
    <row r="74" spans="1:209">
      <c r="A74" s="4">
        <v>1849</v>
      </c>
      <c r="B74" s="35">
        <f t="shared" si="5"/>
        <v>102.56693230842917</v>
      </c>
      <c r="C74" s="75"/>
      <c r="D74" s="32">
        <f t="shared" si="4"/>
        <v>118.81257622943357</v>
      </c>
      <c r="E74" s="32">
        <f t="shared" si="6"/>
        <v>88.605312299056862</v>
      </c>
      <c r="F74" s="32"/>
      <c r="G74" s="32"/>
      <c r="H74" s="32"/>
      <c r="I74" s="32"/>
      <c r="J74" s="32"/>
      <c r="K74" s="32"/>
      <c r="L74" s="32"/>
      <c r="M74" s="32"/>
      <c r="N74" s="32">
        <f>('Pm indices'!B73^'Pm wts'!B$16)*('Pm indices'!C73^'Pm wts'!C$16)*('Pm indices'!D73^'Pm wts'!D$16)*('Pm indices'!G73^'Pm wts'!G$16)</f>
        <v>82.014230280967581</v>
      </c>
      <c r="O74" s="32">
        <f>('Pm indices'!B73^'Pm wts'!B$18)*('Pm indices'!C73^'Pm wts'!C$18)*('Pm indices'!D73^'Pm wts'!D$18)*('Pm indices'!G73^'Pm wts'!G$18)</f>
        <v>88.605312299056862</v>
      </c>
      <c r="P74" s="32"/>
      <c r="Q74" s="32"/>
      <c r="R74" s="32"/>
      <c r="S74" s="32"/>
      <c r="T74" s="32"/>
      <c r="U74" s="32"/>
      <c r="V74" s="32"/>
      <c r="W74" s="32"/>
      <c r="X74" s="32"/>
      <c r="Y74" s="32"/>
      <c r="AA74" s="51"/>
      <c r="AB74" s="51"/>
      <c r="AC74" s="51"/>
      <c r="AD74" s="51"/>
      <c r="AE74" s="51"/>
      <c r="AF74" s="51"/>
      <c r="AG74" s="51"/>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row>
    <row r="75" spans="1:209">
      <c r="A75" s="4">
        <v>1850</v>
      </c>
      <c r="B75" s="35">
        <f t="shared" ref="B75:B94" si="7">(GEOMEAN(E75:F75)/GEOMEAN(E$95:F$95))*B$95</f>
        <v>114.6189419404912</v>
      </c>
      <c r="C75" s="75"/>
      <c r="D75" s="32">
        <f t="shared" si="4"/>
        <v>133.59822011183883</v>
      </c>
      <c r="E75" s="32">
        <f t="shared" si="6"/>
        <v>98.405542265803888</v>
      </c>
      <c r="F75" s="32">
        <f>Q75</f>
        <v>102.52253148344484</v>
      </c>
      <c r="G75" s="32"/>
      <c r="H75" s="32"/>
      <c r="I75" s="32"/>
      <c r="J75" s="32"/>
      <c r="K75" s="32"/>
      <c r="L75" s="32"/>
      <c r="M75" s="32"/>
      <c r="N75" s="32">
        <f>('Pm indices'!B74^'Pm wts'!B$16)*('Pm indices'!C74^'Pm wts'!C$16)*('Pm indices'!D74^'Pm wts'!D$16)*('Pm indices'!G74^'Pm wts'!G$16)</f>
        <v>92.220500027044835</v>
      </c>
      <c r="O75" s="32">
        <f>('Pm indices'!B74^'Pm wts'!B$18)*('Pm indices'!C74^'Pm wts'!C$18)*('Pm indices'!D74^'Pm wts'!D$18)*('Pm indices'!G74^'Pm wts'!G$18)</f>
        <v>98.405542265803888</v>
      </c>
      <c r="P75" s="32"/>
      <c r="Q75" s="32">
        <f>('Pm indices'!B74^'Pm wts'!B$21)*('Pm indices'!C74^'Pm wts'!C$21)*('Pm indices'!D74^'Pm wts'!D$21)*('Pm indices'!G74^'Pm wts'!G$21)</f>
        <v>102.52253148344484</v>
      </c>
      <c r="R75" s="32"/>
      <c r="S75" s="32"/>
      <c r="T75" s="32"/>
      <c r="U75" s="32"/>
      <c r="V75" s="32"/>
      <c r="W75" s="32"/>
      <c r="X75" s="32"/>
      <c r="Y75" s="32"/>
      <c r="AA75" s="51"/>
      <c r="AB75" s="51"/>
      <c r="AC75" s="51"/>
      <c r="AD75" s="51"/>
      <c r="AE75" s="51"/>
      <c r="AF75" s="51"/>
      <c r="AG75" s="51"/>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row>
    <row r="76" spans="1:209">
      <c r="A76" s="4">
        <v>1851</v>
      </c>
      <c r="B76" s="35">
        <f t="shared" si="7"/>
        <v>114.10145705228088</v>
      </c>
      <c r="C76" s="75"/>
      <c r="D76" s="32"/>
      <c r="E76" s="32">
        <f t="shared" si="6"/>
        <v>97.850172799610348</v>
      </c>
      <c r="F76" s="32">
        <f t="shared" ref="F76:F87" si="8">Q76</f>
        <v>102.17552397487151</v>
      </c>
      <c r="G76" s="32"/>
      <c r="H76" s="32"/>
      <c r="I76" s="32"/>
      <c r="J76" s="32"/>
      <c r="K76" s="32"/>
      <c r="L76" s="32"/>
      <c r="M76" s="32"/>
      <c r="N76" s="32"/>
      <c r="O76" s="32">
        <f>('Pm indices'!B75^'Pm wts'!B$18)*('Pm indices'!C75^'Pm wts'!C$18)*('Pm indices'!D75^'Pm wts'!D$18)*('Pm indices'!G75^'Pm wts'!G$18)</f>
        <v>97.850172799610348</v>
      </c>
      <c r="P76" s="32"/>
      <c r="Q76" s="32">
        <f>('Pm indices'!B75^'Pm wts'!B$21)*('Pm indices'!C75^'Pm wts'!C$21)*('Pm indices'!D75^'Pm wts'!D$21)*('Pm indices'!G75^'Pm wts'!G$21)</f>
        <v>102.17552397487151</v>
      </c>
      <c r="R76" s="32"/>
      <c r="S76" s="32"/>
      <c r="T76" s="32"/>
      <c r="U76" s="32"/>
      <c r="V76" s="32"/>
      <c r="W76" s="32"/>
      <c r="X76" s="32"/>
      <c r="Y76" s="32"/>
      <c r="AA76" s="51"/>
      <c r="AB76" s="51"/>
      <c r="AC76" s="51"/>
      <c r="AD76" s="51"/>
      <c r="AE76" s="51"/>
      <c r="AF76" s="51"/>
      <c r="AG76" s="51"/>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row>
    <row r="77" spans="1:209">
      <c r="A77" s="4">
        <v>1852</v>
      </c>
      <c r="B77" s="35">
        <f t="shared" si="7"/>
        <v>115.87028053683737</v>
      </c>
      <c r="C77" s="75"/>
      <c r="D77" s="32"/>
      <c r="E77" s="32">
        <f t="shared" si="6"/>
        <v>98.774043625295604</v>
      </c>
      <c r="F77" s="32">
        <f t="shared" si="8"/>
        <v>104.38242291053881</v>
      </c>
      <c r="G77" s="32"/>
      <c r="H77" s="32"/>
      <c r="I77" s="32"/>
      <c r="J77" s="32"/>
      <c r="K77" s="32"/>
      <c r="L77" s="32"/>
      <c r="M77" s="32"/>
      <c r="N77" s="32"/>
      <c r="O77" s="32">
        <f>('Pm indices'!B76^'Pm wts'!B$18)*('Pm indices'!C76^'Pm wts'!C$18)*('Pm indices'!D76^'Pm wts'!D$18)*('Pm indices'!G76^'Pm wts'!G$18)</f>
        <v>98.774043625295604</v>
      </c>
      <c r="P77" s="32"/>
      <c r="Q77" s="32">
        <f>('Pm indices'!B76^'Pm wts'!B$21)*('Pm indices'!C76^'Pm wts'!C$21)*('Pm indices'!D76^'Pm wts'!D$21)*('Pm indices'!G76^'Pm wts'!G$21)</f>
        <v>104.38242291053881</v>
      </c>
      <c r="R77" s="32"/>
      <c r="S77" s="32"/>
      <c r="T77" s="32"/>
      <c r="U77" s="32"/>
      <c r="V77" s="32"/>
      <c r="W77" s="32"/>
      <c r="X77" s="32"/>
      <c r="Y77" s="32"/>
      <c r="AA77" s="51"/>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row>
    <row r="78" spans="1:209">
      <c r="A78" s="4">
        <v>1853</v>
      </c>
      <c r="B78" s="35">
        <f t="shared" si="7"/>
        <v>127.42264163967066</v>
      </c>
      <c r="C78" s="75"/>
      <c r="D78" s="32"/>
      <c r="E78" s="32">
        <f t="shared" si="6"/>
        <v>108.49776252013017</v>
      </c>
      <c r="F78" s="32">
        <f t="shared" si="8"/>
        <v>114.92076714705279</v>
      </c>
      <c r="G78" s="32"/>
      <c r="H78" s="32"/>
      <c r="I78" s="32"/>
      <c r="J78" s="32"/>
      <c r="K78" s="32"/>
      <c r="L78" s="32"/>
      <c r="M78" s="32"/>
      <c r="N78" s="32"/>
      <c r="O78" s="32">
        <f>('Pm indices'!B77^'Pm wts'!B$18)*('Pm indices'!C77^'Pm wts'!C$18)*('Pm indices'!D77^'Pm wts'!D$18)*('Pm indices'!G77^'Pm wts'!G$18)</f>
        <v>108.49776252013017</v>
      </c>
      <c r="P78" s="32"/>
      <c r="Q78" s="32">
        <f>('Pm indices'!B77^'Pm wts'!B$21)*('Pm indices'!C77^'Pm wts'!C$21)*('Pm indices'!D77^'Pm wts'!D$21)*('Pm indices'!G77^'Pm wts'!G$21)</f>
        <v>114.92076714705279</v>
      </c>
      <c r="R78" s="32"/>
      <c r="S78" s="32"/>
      <c r="T78" s="32"/>
      <c r="U78" s="32"/>
      <c r="V78" s="32"/>
      <c r="W78" s="32"/>
      <c r="X78" s="32"/>
      <c r="Y78" s="32"/>
      <c r="AA78" s="51"/>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row>
    <row r="79" spans="1:209">
      <c r="A79" s="4">
        <v>1854</v>
      </c>
      <c r="B79" s="35">
        <f t="shared" si="7"/>
        <v>133.06989071002607</v>
      </c>
      <c r="C79" s="75"/>
      <c r="D79" s="32"/>
      <c r="E79" s="32">
        <f t="shared" si="6"/>
        <v>113.77895432097753</v>
      </c>
      <c r="F79" s="32">
        <f t="shared" si="8"/>
        <v>119.51536775426517</v>
      </c>
      <c r="G79" s="32"/>
      <c r="H79" s="32"/>
      <c r="I79" s="32"/>
      <c r="J79" s="32"/>
      <c r="K79" s="32"/>
      <c r="L79" s="32"/>
      <c r="M79" s="32"/>
      <c r="N79" s="32"/>
      <c r="O79" s="32">
        <f>('Pm indices'!B78^'Pm wts'!B$18)*('Pm indices'!C78^'Pm wts'!C$18)*('Pm indices'!D78^'Pm wts'!D$18)*('Pm indices'!G78^'Pm wts'!G$18)</f>
        <v>113.77895432097753</v>
      </c>
      <c r="P79" s="32"/>
      <c r="Q79" s="32">
        <f>('Pm indices'!B78^'Pm wts'!B$21)*('Pm indices'!C78^'Pm wts'!C$21)*('Pm indices'!D78^'Pm wts'!D$21)*('Pm indices'!G78^'Pm wts'!G$21)</f>
        <v>119.51536775426517</v>
      </c>
      <c r="R79" s="32"/>
      <c r="S79" s="32"/>
      <c r="T79" s="32"/>
      <c r="U79" s="32"/>
      <c r="V79" s="32"/>
      <c r="W79" s="32"/>
      <c r="X79" s="32"/>
      <c r="Y79" s="32"/>
      <c r="AA79" s="51"/>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row>
    <row r="80" spans="1:209">
      <c r="A80" s="4">
        <v>1855</v>
      </c>
      <c r="B80" s="35">
        <f t="shared" si="7"/>
        <v>124.84351715085499</v>
      </c>
      <c r="C80" s="75"/>
      <c r="D80" s="32"/>
      <c r="E80" s="32">
        <f t="shared" si="6"/>
        <v>106.57990178266026</v>
      </c>
      <c r="F80" s="32">
        <f t="shared" si="8"/>
        <v>112.30077795356794</v>
      </c>
      <c r="G80" s="32"/>
      <c r="H80" s="32"/>
      <c r="I80" s="32"/>
      <c r="J80" s="32"/>
      <c r="K80" s="32"/>
      <c r="L80" s="32"/>
      <c r="M80" s="32"/>
      <c r="N80" s="32"/>
      <c r="O80" s="32">
        <f>('Pm indices'!B79^'Pm wts'!B$18)*('Pm indices'!C79^'Pm wts'!C$18)*('Pm indices'!D79^'Pm wts'!D$18)*('Pm indices'!G79^'Pm wts'!G$18)</f>
        <v>106.57990178266026</v>
      </c>
      <c r="P80" s="32"/>
      <c r="Q80" s="32">
        <f>('Pm indices'!B79^'Pm wts'!B$21)*('Pm indices'!C79^'Pm wts'!C$21)*('Pm indices'!D79^'Pm wts'!D$21)*('Pm indices'!G79^'Pm wts'!G$21)</f>
        <v>112.30077795356794</v>
      </c>
      <c r="R80" s="32"/>
      <c r="S80" s="32"/>
      <c r="T80" s="32"/>
      <c r="U80" s="32"/>
      <c r="V80" s="32"/>
      <c r="W80" s="32"/>
      <c r="X80" s="32"/>
      <c r="Y80" s="32"/>
      <c r="AA80" s="51"/>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row>
    <row r="81" spans="1:209">
      <c r="A81" s="4">
        <v>1856</v>
      </c>
      <c r="B81" s="35">
        <f t="shared" si="7"/>
        <v>133.26729528949446</v>
      </c>
      <c r="C81" s="75"/>
      <c r="D81" s="32"/>
      <c r="E81" s="32">
        <f>O81</f>
        <v>113.79638712776574</v>
      </c>
      <c r="F81" s="32">
        <f t="shared" si="8"/>
        <v>119.85186131923288</v>
      </c>
      <c r="G81" s="32"/>
      <c r="H81" s="32"/>
      <c r="I81" s="32"/>
      <c r="J81" s="32"/>
      <c r="K81" s="32"/>
      <c r="L81" s="32"/>
      <c r="M81" s="32"/>
      <c r="N81" s="32"/>
      <c r="O81" s="32">
        <f>('Pm indices'!B80^'Pm wts'!B$18)*('Pm indices'!C80^'Pm wts'!C$18)*('Pm indices'!D80^'Pm wts'!D$18)*('Pm indices'!G80^'Pm wts'!G$18)</f>
        <v>113.79638712776574</v>
      </c>
      <c r="P81" s="32"/>
      <c r="Q81" s="32">
        <f>('Pm indices'!B80^'Pm wts'!B$21)*('Pm indices'!C80^'Pm wts'!C$21)*('Pm indices'!D80^'Pm wts'!D$21)*('Pm indices'!G80^'Pm wts'!G$21)</f>
        <v>119.85186131923288</v>
      </c>
      <c r="R81" s="32"/>
      <c r="S81" s="32"/>
      <c r="T81" s="32"/>
      <c r="U81" s="32"/>
      <c r="V81" s="32"/>
      <c r="W81" s="32"/>
      <c r="X81" s="32"/>
      <c r="Y81" s="32"/>
      <c r="AA81" s="51"/>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row>
    <row r="82" spans="1:209">
      <c r="A82" s="4">
        <v>1857</v>
      </c>
      <c r="B82" s="35">
        <f t="shared" si="7"/>
        <v>139.74499958374034</v>
      </c>
      <c r="C82" s="75"/>
      <c r="D82" s="32"/>
      <c r="E82" s="32">
        <f t="shared" si="6"/>
        <v>120.05651314051013</v>
      </c>
      <c r="F82" s="32">
        <f t="shared" si="8"/>
        <v>124.91451828945293</v>
      </c>
      <c r="G82" s="32"/>
      <c r="H82" s="32"/>
      <c r="I82" s="32"/>
      <c r="J82" s="32"/>
      <c r="K82" s="32"/>
      <c r="L82" s="32"/>
      <c r="M82" s="32"/>
      <c r="N82" s="32"/>
      <c r="O82" s="32">
        <f>('Pm indices'!B81^'Pm wts'!B$18)*('Pm indices'!C81^'Pm wts'!C$18)*('Pm indices'!D81^'Pm wts'!D$18)*('Pm indices'!G81^'Pm wts'!G$18)</f>
        <v>120.05651314051013</v>
      </c>
      <c r="P82" s="32"/>
      <c r="Q82" s="32">
        <f>('Pm indices'!B81^'Pm wts'!B$21)*('Pm indices'!C81^'Pm wts'!C$21)*('Pm indices'!D81^'Pm wts'!D$21)*('Pm indices'!G81^'Pm wts'!G$21)</f>
        <v>124.91451828945293</v>
      </c>
      <c r="R82" s="32"/>
      <c r="S82" s="32"/>
      <c r="T82" s="32"/>
      <c r="U82" s="32"/>
      <c r="V82" s="32"/>
      <c r="W82" s="32"/>
      <c r="X82" s="32"/>
      <c r="Y82" s="32"/>
      <c r="AA82" s="51"/>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row>
    <row r="83" spans="1:209">
      <c r="A83" s="4">
        <v>1858</v>
      </c>
      <c r="B83" s="35">
        <f t="shared" si="7"/>
        <v>129.03973844185711</v>
      </c>
      <c r="C83" s="75"/>
      <c r="D83" s="32"/>
      <c r="E83" s="32">
        <f t="shared" si="6"/>
        <v>110.64238693382001</v>
      </c>
      <c r="F83" s="32">
        <f t="shared" si="8"/>
        <v>115.57170001195267</v>
      </c>
      <c r="G83" s="32"/>
      <c r="H83" s="32"/>
      <c r="I83" s="32"/>
      <c r="J83" s="32"/>
      <c r="K83" s="32"/>
      <c r="L83" s="32"/>
      <c r="M83" s="32"/>
      <c r="N83" s="32"/>
      <c r="O83" s="32">
        <f>('Pm indices'!B82^'Pm wts'!B$18)*('Pm indices'!C82^'Pm wts'!C$18)*('Pm indices'!D82^'Pm wts'!D$18)*('Pm indices'!G82^'Pm wts'!G$18)</f>
        <v>110.64238693382001</v>
      </c>
      <c r="P83" s="32"/>
      <c r="Q83" s="32">
        <f>('Pm indices'!B82^'Pm wts'!B$21)*('Pm indices'!C82^'Pm wts'!C$21)*('Pm indices'!D82^'Pm wts'!D$21)*('Pm indices'!G82^'Pm wts'!G$21)</f>
        <v>115.57170001195267</v>
      </c>
      <c r="R83" s="32"/>
      <c r="S83" s="32"/>
      <c r="T83" s="32"/>
      <c r="U83" s="32"/>
      <c r="V83" s="32"/>
      <c r="W83" s="32"/>
      <c r="X83" s="32"/>
      <c r="Y83" s="32"/>
      <c r="AA83" s="51"/>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row>
    <row r="84" spans="1:209">
      <c r="A84" s="4">
        <v>1859</v>
      </c>
      <c r="B84" s="35">
        <f t="shared" si="7"/>
        <v>130.66859186359818</v>
      </c>
      <c r="C84" s="75"/>
      <c r="D84" s="32"/>
      <c r="E84" s="32">
        <f t="shared" si="6"/>
        <v>111.6952272320667</v>
      </c>
      <c r="F84" s="32">
        <f t="shared" si="8"/>
        <v>117.3907550182164</v>
      </c>
      <c r="G84" s="32"/>
      <c r="H84" s="32"/>
      <c r="I84" s="32"/>
      <c r="J84" s="32"/>
      <c r="K84" s="32"/>
      <c r="L84" s="32"/>
      <c r="M84" s="32"/>
      <c r="N84" s="32"/>
      <c r="O84" s="32">
        <f>('Pm indices'!B83^'Pm wts'!B$18)*('Pm indices'!C83^'Pm wts'!C$18)*('Pm indices'!D83^'Pm wts'!D$18)*('Pm indices'!G83^'Pm wts'!G$18)</f>
        <v>111.6952272320667</v>
      </c>
      <c r="P84" s="32"/>
      <c r="Q84" s="32">
        <f>('Pm indices'!B83^'Pm wts'!B$21)*('Pm indices'!C83^'Pm wts'!C$21)*('Pm indices'!D83^'Pm wts'!D$21)*('Pm indices'!G83^'Pm wts'!G$21)</f>
        <v>117.3907550182164</v>
      </c>
      <c r="R84" s="32"/>
      <c r="S84" s="32"/>
      <c r="T84" s="32"/>
      <c r="U84" s="32"/>
      <c r="V84" s="32"/>
      <c r="W84" s="32"/>
      <c r="X84" s="32"/>
      <c r="Y84" s="32"/>
      <c r="AA84" s="51"/>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row>
    <row r="85" spans="1:209">
      <c r="A85" s="4">
        <v>1860</v>
      </c>
      <c r="B85" s="35">
        <f t="shared" si="7"/>
        <v>131.07360927286578</v>
      </c>
      <c r="C85" s="75"/>
      <c r="D85" s="32"/>
      <c r="E85" s="32">
        <f t="shared" si="6"/>
        <v>112.22564747153352</v>
      </c>
      <c r="F85" s="32">
        <f t="shared" si="8"/>
        <v>117.56132900364121</v>
      </c>
      <c r="G85" s="32"/>
      <c r="H85" s="32"/>
      <c r="I85" s="32"/>
      <c r="J85" s="32"/>
      <c r="K85" s="32"/>
      <c r="L85" s="32"/>
      <c r="M85" s="32"/>
      <c r="N85" s="32"/>
      <c r="O85" s="32">
        <f>('Pm indices'!B84^'Pm wts'!B$18)*('Pm indices'!C84^'Pm wts'!C$18)*('Pm indices'!D84^'Pm wts'!D$18)*('Pm indices'!G84^'Pm wts'!G$18)</f>
        <v>112.22564747153352</v>
      </c>
      <c r="P85" s="32"/>
      <c r="Q85" s="32">
        <f>('Pm indices'!B84^'Pm wts'!B$21)*('Pm indices'!C84^'Pm wts'!C$21)*('Pm indices'!D84^'Pm wts'!D$21)*('Pm indices'!G84^'Pm wts'!G$21)</f>
        <v>117.56132900364121</v>
      </c>
      <c r="R85" s="32"/>
      <c r="S85" s="32"/>
      <c r="T85" s="32"/>
      <c r="U85" s="32"/>
      <c r="V85" s="32"/>
      <c r="W85" s="32"/>
      <c r="X85" s="32"/>
      <c r="Y85" s="32"/>
      <c r="AA85" s="51"/>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row>
    <row r="86" spans="1:209">
      <c r="A86" s="4">
        <v>1861</v>
      </c>
      <c r="B86" s="35">
        <f t="shared" si="7"/>
        <v>127.98810173225191</v>
      </c>
      <c r="C86" s="75"/>
      <c r="D86" s="32"/>
      <c r="E86" s="32">
        <f t="shared" si="6"/>
        <v>110.02056721305793</v>
      </c>
      <c r="F86" s="32">
        <f t="shared" si="8"/>
        <v>114.3382144703904</v>
      </c>
      <c r="G86" s="32"/>
      <c r="H86" s="32"/>
      <c r="I86" s="32"/>
      <c r="J86" s="32"/>
      <c r="K86" s="32"/>
      <c r="L86" s="32"/>
      <c r="M86" s="32"/>
      <c r="N86" s="32"/>
      <c r="O86" s="32">
        <f>('Pm indices'!B85^'Pm wts'!B$18)*('Pm indices'!C85^'Pm wts'!C$18)*('Pm indices'!D85^'Pm wts'!D$18)*('Pm indices'!G85^'Pm wts'!G$18)</f>
        <v>110.02056721305793</v>
      </c>
      <c r="P86" s="32"/>
      <c r="Q86" s="32">
        <f>('Pm indices'!B85^'Pm wts'!B$21)*('Pm indices'!C85^'Pm wts'!C$21)*('Pm indices'!D85^'Pm wts'!D$21)*('Pm indices'!G85^'Pm wts'!G$21)</f>
        <v>114.3382144703904</v>
      </c>
      <c r="R86" s="32"/>
      <c r="S86" s="32"/>
      <c r="T86" s="32"/>
      <c r="U86" s="32"/>
      <c r="V86" s="32"/>
      <c r="W86" s="32"/>
      <c r="X86" s="32"/>
      <c r="Y86" s="32"/>
      <c r="AA86" s="51"/>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row>
    <row r="87" spans="1:209">
      <c r="A87" s="4">
        <v>1862</v>
      </c>
      <c r="B87" s="35">
        <f t="shared" si="7"/>
        <v>137.64022778325651</v>
      </c>
      <c r="C87" s="75"/>
      <c r="D87" s="32"/>
      <c r="E87" s="32">
        <f t="shared" si="6"/>
        <v>119.01373483112255</v>
      </c>
      <c r="F87" s="32">
        <f t="shared" si="8"/>
        <v>122.24180978152239</v>
      </c>
      <c r="G87" s="32"/>
      <c r="H87" s="32"/>
      <c r="I87" s="32"/>
      <c r="J87" s="32"/>
      <c r="K87" s="32"/>
      <c r="L87" s="32"/>
      <c r="M87" s="32"/>
      <c r="N87" s="32"/>
      <c r="O87" s="32">
        <f>('Pm indices'!B86^'Pm wts'!B$18)*('Pm indices'!C86^'Pm wts'!C$18)*('Pm indices'!D86^'Pm wts'!D$18)*('Pm indices'!G86^'Pm wts'!G$18)</f>
        <v>119.01373483112255</v>
      </c>
      <c r="P87" s="32">
        <f>('Pm indices'!B86^'Pm wts'!B$19)*('Pm indices'!C86^'Pm wts'!C$19)*('Pm indices'!D86^'Pm wts'!D$19)*('Pm indices'!G86^'Pm wts'!G$19)*('Pm indices'!F86^'Pm wts'!F$19)</f>
        <v>119.48229471251433</v>
      </c>
      <c r="Q87" s="32">
        <f>('Pm indices'!B86^'Pm wts'!B$21)*('Pm indices'!C86^'Pm wts'!C$21)*('Pm indices'!D86^'Pm wts'!D$21)*('Pm indices'!G86^'Pm wts'!G$21)</f>
        <v>122.24180978152239</v>
      </c>
      <c r="R87" s="32">
        <f>('Pm indices'!B86^'Pm wts'!B$22)*('Pm indices'!C86^'Pm wts'!C$22)*('Pm indices'!D86^'Pm wts'!D$22)*('Pm indices'!G86^'Pm wts'!G$22)*('Pm indices'!F86^'Pm wts'!F$22)</f>
        <v>122.4675633996913</v>
      </c>
      <c r="S87" s="32"/>
      <c r="T87" s="32"/>
      <c r="U87" s="32"/>
      <c r="V87" s="32"/>
      <c r="W87" s="32"/>
      <c r="X87" s="32"/>
      <c r="Y87" s="32"/>
      <c r="AA87" s="51"/>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row>
    <row r="88" spans="1:209">
      <c r="A88" s="4">
        <v>1863</v>
      </c>
      <c r="B88" s="35">
        <f t="shared" si="7"/>
        <v>139.78420920241464</v>
      </c>
      <c r="C88" s="75"/>
      <c r="D88" s="32"/>
      <c r="E88" s="32">
        <f t="shared" ref="E88:E95" si="9">(P88/P$87)*E$87</f>
        <v>120.93701348640376</v>
      </c>
      <c r="F88" s="32">
        <f t="shared" ref="F88:F105" si="10">(R88/R$87)*F$87</f>
        <v>124.07465549620692</v>
      </c>
      <c r="G88" s="32"/>
      <c r="H88" s="32"/>
      <c r="I88" s="32"/>
      <c r="J88" s="32"/>
      <c r="K88" s="32"/>
      <c r="L88" s="32"/>
      <c r="M88" s="32"/>
      <c r="N88" s="32"/>
      <c r="O88" s="32"/>
      <c r="P88" s="32">
        <f>('Pm indices'!B87^'Pm wts'!B$19)*('Pm indices'!C87^'Pm wts'!C$19)*('Pm indices'!D87^'Pm wts'!D$19)*('Pm indices'!G87^'Pm wts'!G$19)*('Pm indices'!F87^'Pm wts'!F$19)</f>
        <v>121.41314536122874</v>
      </c>
      <c r="Q88" s="32"/>
      <c r="R88" s="32">
        <f>('Pm indices'!B87^'Pm wts'!B$22)*('Pm indices'!C87^'Pm wts'!C$22)*('Pm indices'!D87^'Pm wts'!D$22)*('Pm indices'!G87^'Pm wts'!G$22)*('Pm indices'!F87^'Pm wts'!F$22)</f>
        <v>124.303793975516</v>
      </c>
      <c r="S88" s="32"/>
      <c r="T88" s="32"/>
      <c r="U88" s="32"/>
      <c r="V88" s="32"/>
      <c r="W88" s="32"/>
      <c r="X88" s="32"/>
      <c r="Y88" s="32"/>
      <c r="AA88" s="51"/>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row>
    <row r="89" spans="1:209">
      <c r="A89" s="4">
        <v>1864</v>
      </c>
      <c r="B89" s="35">
        <f t="shared" si="7"/>
        <v>140.20793032647913</v>
      </c>
      <c r="C89" s="75"/>
      <c r="D89" s="32"/>
      <c r="E89" s="32">
        <f t="shared" si="9"/>
        <v>121.37895381304571</v>
      </c>
      <c r="F89" s="32">
        <f t="shared" si="10"/>
        <v>124.37350029340632</v>
      </c>
      <c r="G89" s="32"/>
      <c r="H89" s="32"/>
      <c r="I89" s="32"/>
      <c r="J89" s="32"/>
      <c r="K89" s="32"/>
      <c r="L89" s="32"/>
      <c r="M89" s="32"/>
      <c r="N89" s="32"/>
      <c r="O89" s="32"/>
      <c r="P89" s="32">
        <f>('Pm indices'!B88^'Pm wts'!B$19)*('Pm indices'!C88^'Pm wts'!C$19)*('Pm indices'!D88^'Pm wts'!D$19)*('Pm indices'!G88^'Pm wts'!G$19)*('Pm indices'!F88^'Pm wts'!F$19)</f>
        <v>121.85682561736142</v>
      </c>
      <c r="Q89" s="32"/>
      <c r="R89" s="32">
        <f>('Pm indices'!B88^'Pm wts'!B$22)*('Pm indices'!C88^'Pm wts'!C$22)*('Pm indices'!D88^'Pm wts'!D$22)*('Pm indices'!G88^'Pm wts'!G$22)*('Pm indices'!F88^'Pm wts'!F$22)</f>
        <v>124.6031906730379</v>
      </c>
      <c r="S89" s="32"/>
      <c r="T89" s="32"/>
      <c r="U89" s="32"/>
      <c r="V89" s="32"/>
      <c r="W89" s="32"/>
      <c r="X89" s="32"/>
      <c r="Y89" s="32"/>
      <c r="AA89" s="51"/>
      <c r="AB89" s="51"/>
      <c r="AC89" s="51"/>
      <c r="AD89" s="51"/>
      <c r="AE89" s="51"/>
      <c r="AF89" s="51"/>
      <c r="AG89" s="51"/>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row>
    <row r="90" spans="1:209">
      <c r="A90" s="4">
        <v>1865</v>
      </c>
      <c r="B90" s="35">
        <f t="shared" si="7"/>
        <v>133.64101271062717</v>
      </c>
      <c r="C90" s="75"/>
      <c r="D90" s="32"/>
      <c r="E90" s="32">
        <f t="shared" si="9"/>
        <v>115.51140089913802</v>
      </c>
      <c r="F90" s="32">
        <f t="shared" si="10"/>
        <v>118.73554634397883</v>
      </c>
      <c r="G90" s="32"/>
      <c r="H90" s="32"/>
      <c r="I90" s="32"/>
      <c r="J90" s="32"/>
      <c r="K90" s="32"/>
      <c r="L90" s="32"/>
      <c r="M90" s="32"/>
      <c r="N90" s="32"/>
      <c r="O90" s="32"/>
      <c r="P90" s="32">
        <f>('Pm indices'!B89^'Pm wts'!B$19)*('Pm indices'!C89^'Pm wts'!C$19)*('Pm indices'!D89^'Pm wts'!D$19)*('Pm indices'!G89^'Pm wts'!G$19)*('Pm indices'!F89^'Pm wts'!F$19)</f>
        <v>115.96617200922461</v>
      </c>
      <c r="Q90" s="32"/>
      <c r="R90" s="32">
        <f>('Pm indices'!B89^'Pm wts'!B$22)*('Pm indices'!C89^'Pm wts'!C$22)*('Pm indices'!D89^'Pm wts'!D$22)*('Pm indices'!G89^'Pm wts'!G$22)*('Pm indices'!F89^'Pm wts'!F$22)</f>
        <v>118.95482466814894</v>
      </c>
      <c r="S90" s="32"/>
      <c r="T90" s="32"/>
      <c r="U90" s="32"/>
      <c r="V90" s="32"/>
      <c r="W90" s="32"/>
      <c r="X90" s="32"/>
      <c r="Y90" s="32"/>
      <c r="AA90" s="51"/>
      <c r="AB90" s="51"/>
      <c r="AC90" s="51"/>
      <c r="AD90" s="51"/>
      <c r="AE90" s="51"/>
      <c r="AF90" s="51"/>
      <c r="AG90" s="51"/>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row>
    <row r="91" spans="1:209">
      <c r="A91" s="4">
        <v>1866</v>
      </c>
      <c r="B91" s="35">
        <f t="shared" si="7"/>
        <v>135.4284151109008</v>
      </c>
      <c r="C91" s="75"/>
      <c r="D91" s="32"/>
      <c r="E91" s="32">
        <f t="shared" si="9"/>
        <v>117.78596589801334</v>
      </c>
      <c r="F91" s="32">
        <f t="shared" si="10"/>
        <v>119.57823373148244</v>
      </c>
      <c r="G91" s="32"/>
      <c r="H91" s="32"/>
      <c r="I91" s="32"/>
      <c r="J91" s="32"/>
      <c r="K91" s="32"/>
      <c r="L91" s="32"/>
      <c r="M91" s="32"/>
      <c r="N91" s="32"/>
      <c r="O91" s="32"/>
      <c r="P91" s="32">
        <f>('Pm indices'!B90^'Pm wts'!B$19)*('Pm indices'!C90^'Pm wts'!C$19)*('Pm indices'!D90^'Pm wts'!D$19)*('Pm indices'!G90^'Pm wts'!G$19)*('Pm indices'!F90^'Pm wts'!F$19)</f>
        <v>118.24969202415419</v>
      </c>
      <c r="Q91" s="32"/>
      <c r="R91" s="32">
        <f>('Pm indices'!B90^'Pm wts'!B$22)*('Pm indices'!C90^'Pm wts'!C$22)*('Pm indices'!D90^'Pm wts'!D$22)*('Pm indices'!G90^'Pm wts'!G$22)*('Pm indices'!F90^'Pm wts'!F$22)</f>
        <v>119.7990683130988</v>
      </c>
      <c r="S91" s="32"/>
      <c r="T91" s="32"/>
      <c r="U91" s="32"/>
      <c r="V91" s="32"/>
      <c r="W91" s="32"/>
      <c r="X91" s="32"/>
      <c r="Y91" s="32"/>
      <c r="AA91" s="51"/>
      <c r="AB91" s="51"/>
      <c r="AC91" s="51"/>
      <c r="AD91" s="51"/>
      <c r="AE91" s="51"/>
      <c r="AF91" s="51"/>
      <c r="AG91" s="51"/>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row>
    <row r="92" spans="1:209">
      <c r="A92" s="4">
        <v>1867</v>
      </c>
      <c r="B92" s="35">
        <f t="shared" si="7"/>
        <v>130.3937223416834</v>
      </c>
      <c r="C92" s="75"/>
      <c r="D92" s="32"/>
      <c r="E92" s="32">
        <f t="shared" si="9"/>
        <v>113.62562642746879</v>
      </c>
      <c r="F92" s="32">
        <f t="shared" si="10"/>
        <v>114.91141324786143</v>
      </c>
      <c r="G92" s="32"/>
      <c r="H92" s="32"/>
      <c r="I92" s="32"/>
      <c r="J92" s="32"/>
      <c r="K92" s="32"/>
      <c r="L92" s="32"/>
      <c r="M92" s="32"/>
      <c r="N92" s="32"/>
      <c r="O92" s="32"/>
      <c r="P92" s="32">
        <f>('Pm indices'!B91^'Pm wts'!B$19)*('Pm indices'!C91^'Pm wts'!C$19)*('Pm indices'!D91^'Pm wts'!D$19)*('Pm indices'!G91^'Pm wts'!G$19)*('Pm indices'!F91^'Pm wts'!F$19)</f>
        <v>114.07297319897772</v>
      </c>
      <c r="Q92" s="32"/>
      <c r="R92" s="32">
        <f>('Pm indices'!B91^'Pm wts'!B$22)*('Pm indices'!C91^'Pm wts'!C$22)*('Pm indices'!D91^'Pm wts'!D$22)*('Pm indices'!G91^'Pm wts'!G$22)*('Pm indices'!F91^'Pm wts'!F$22)</f>
        <v>115.12362924299413</v>
      </c>
      <c r="S92" s="32"/>
      <c r="T92" s="32"/>
      <c r="U92" s="32"/>
      <c r="V92" s="32"/>
      <c r="W92" s="32"/>
      <c r="X92" s="32"/>
      <c r="Y92" s="32"/>
      <c r="AA92" s="51"/>
      <c r="AB92" s="51"/>
      <c r="AC92" s="51"/>
      <c r="AD92" s="51"/>
      <c r="AE92" s="51"/>
      <c r="AF92" s="51"/>
      <c r="AG92" s="51"/>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row>
    <row r="93" spans="1:209">
      <c r="A93" s="4">
        <v>1868</v>
      </c>
      <c r="B93" s="35">
        <f t="shared" si="7"/>
        <v>124.76222893410056</v>
      </c>
      <c r="C93" s="75"/>
      <c r="D93" s="32"/>
      <c r="E93" s="32">
        <f t="shared" si="9"/>
        <v>108.52073952220179</v>
      </c>
      <c r="F93" s="32">
        <f t="shared" si="10"/>
        <v>110.1487556468402</v>
      </c>
      <c r="G93" s="32"/>
      <c r="H93" s="32"/>
      <c r="I93" s="32"/>
      <c r="J93" s="32"/>
      <c r="K93" s="32"/>
      <c r="L93" s="32"/>
      <c r="M93" s="32"/>
      <c r="N93" s="32"/>
      <c r="O93" s="32"/>
      <c r="P93" s="32">
        <f>('Pm indices'!B92^'Pm wts'!B$19)*('Pm indices'!C92^'Pm wts'!C$19)*('Pm indices'!D92^'Pm wts'!D$19)*('Pm indices'!G92^'Pm wts'!G$19)*('Pm indices'!F92^'Pm wts'!F$19)</f>
        <v>108.94798823354779</v>
      </c>
      <c r="Q93" s="32"/>
      <c r="R93" s="32">
        <f>('Pm indices'!B92^'Pm wts'!B$22)*('Pm indices'!C92^'Pm wts'!C$22)*('Pm indices'!D92^'Pm wts'!D$22)*('Pm indices'!G92^'Pm wts'!G$22)*('Pm indices'!F92^'Pm wts'!F$22)</f>
        <v>110.35217606550481</v>
      </c>
      <c r="S93" s="32"/>
      <c r="T93" s="32"/>
      <c r="U93" s="32"/>
      <c r="V93" s="32"/>
      <c r="W93" s="32"/>
      <c r="X93" s="32"/>
      <c r="Y93" s="32"/>
      <c r="AA93" s="51"/>
      <c r="AB93" s="51"/>
      <c r="AC93" s="51"/>
      <c r="AD93" s="51"/>
      <c r="AE93" s="51"/>
      <c r="AF93" s="51"/>
      <c r="AG93" s="51"/>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row>
    <row r="94" spans="1:209">
      <c r="A94" s="4">
        <v>1869</v>
      </c>
      <c r="B94" s="35">
        <f t="shared" si="7"/>
        <v>122.17875249632186</v>
      </c>
      <c r="C94" s="75"/>
      <c r="D94" s="32"/>
      <c r="E94" s="32">
        <f t="shared" si="9"/>
        <v>106.30912177012584</v>
      </c>
      <c r="F94" s="32">
        <f t="shared" si="10"/>
        <v>107.83181926028864</v>
      </c>
      <c r="G94" s="32"/>
      <c r="H94" s="32"/>
      <c r="I94" s="32"/>
      <c r="J94" s="32"/>
      <c r="K94" s="32"/>
      <c r="L94" s="32"/>
      <c r="M94" s="32"/>
      <c r="N94" s="32"/>
      <c r="O94" s="32"/>
      <c r="P94" s="32">
        <f>('Pm indices'!B93^'Pm wts'!B$19)*('Pm indices'!C93^'Pm wts'!C$19)*('Pm indices'!D93^'Pm wts'!D$19)*('Pm indices'!G93^'Pm wts'!G$19)*('Pm indices'!F93^'Pm wts'!F$19)</f>
        <v>106.72766329021306</v>
      </c>
      <c r="Q94" s="32"/>
      <c r="R94" s="32">
        <f>('Pm indices'!B93^'Pm wts'!B$22)*('Pm indices'!C93^'Pm wts'!C$22)*('Pm indices'!D93^'Pm wts'!D$22)*('Pm indices'!G93^'Pm wts'!G$22)*('Pm indices'!F93^'Pm wts'!F$22)</f>
        <v>108.03096080928283</v>
      </c>
      <c r="S94" s="32"/>
      <c r="T94" s="32"/>
      <c r="U94" s="32"/>
      <c r="V94" s="32"/>
      <c r="W94" s="32"/>
      <c r="X94" s="32"/>
      <c r="Y94" s="32"/>
      <c r="AA94" s="51"/>
      <c r="AB94" s="51"/>
      <c r="AC94" s="51"/>
      <c r="AD94" s="51"/>
      <c r="AE94" s="51"/>
      <c r="AF94" s="51"/>
      <c r="AG94" s="51"/>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row>
    <row r="95" spans="1:209">
      <c r="A95" s="4">
        <v>1870</v>
      </c>
      <c r="B95" s="35">
        <f t="shared" ref="B95:B114" si="11">(GEOMEAN(F95:G95)/GEOMEAN(F$114:G$114))*B$115</f>
        <v>123.7237562381934</v>
      </c>
      <c r="C95" s="75"/>
      <c r="D95" s="32"/>
      <c r="E95" s="32">
        <f t="shared" si="9"/>
        <v>107.90448172688322</v>
      </c>
      <c r="F95" s="32">
        <f t="shared" si="10"/>
        <v>108.94136186601727</v>
      </c>
      <c r="G95" s="32">
        <f>T95</f>
        <v>114.48074851445568</v>
      </c>
      <c r="H95" s="32"/>
      <c r="I95" s="32"/>
      <c r="J95" s="32"/>
      <c r="K95" s="32"/>
      <c r="L95" s="32"/>
      <c r="M95" s="32"/>
      <c r="N95" s="32"/>
      <c r="O95" s="32"/>
      <c r="P95" s="32">
        <f>('Pm indices'!B94^'Pm wts'!B$19)*('Pm indices'!C94^'Pm wts'!C$19)*('Pm indices'!D94^'Pm wts'!D$19)*('Pm indices'!G94^'Pm wts'!G$19)*('Pm indices'!F94^'Pm wts'!F$19)</f>
        <v>108.32930421675242</v>
      </c>
      <c r="Q95" s="32"/>
      <c r="R95" s="32">
        <f>('Pm indices'!B94^'Pm wts'!B$22)*('Pm indices'!C94^'Pm wts'!C$22)*('Pm indices'!D94^'Pm wts'!D$22)*('Pm indices'!G94^'Pm wts'!G$22)*('Pm indices'!F94^'Pm wts'!F$22)</f>
        <v>109.14255249509465</v>
      </c>
      <c r="S95" s="32"/>
      <c r="T95" s="32">
        <f>('Pm indices'!B94^'Pm wts'!B$25)*('Pm indices'!C94^'Pm wts'!C$25)*('Pm indices'!D94^'Pm wts'!D$25)*('Pm indices'!G94^'Pm wts'!G$25)*('Pm indices'!F94^'Pm wts'!F$25)</f>
        <v>114.48074851445568</v>
      </c>
      <c r="U95" s="32"/>
      <c r="V95" s="32"/>
      <c r="W95" s="32"/>
      <c r="X95" s="32"/>
      <c r="Y95" s="32"/>
      <c r="AA95" s="51"/>
      <c r="AB95" s="51"/>
      <c r="AC95" s="51"/>
      <c r="AD95" s="51"/>
      <c r="AE95" s="51"/>
      <c r="AF95" s="51"/>
      <c r="AG95" s="51"/>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row>
    <row r="96" spans="1:209">
      <c r="A96" s="4">
        <v>1871</v>
      </c>
      <c r="B96" s="35">
        <f t="shared" si="11"/>
        <v>123.80890532821259</v>
      </c>
      <c r="C96" s="75"/>
      <c r="D96" s="32"/>
      <c r="E96" s="32"/>
      <c r="F96" s="32">
        <f t="shared" si="10"/>
        <v>108.9053873666158</v>
      </c>
      <c r="G96" s="32">
        <f t="shared" ref="G96:G105" si="12">T96</f>
        <v>114.67624675019046</v>
      </c>
      <c r="H96" s="32"/>
      <c r="I96" s="32"/>
      <c r="J96" s="32"/>
      <c r="K96" s="32"/>
      <c r="L96" s="32"/>
      <c r="M96" s="32"/>
      <c r="N96" s="32"/>
      <c r="O96" s="32"/>
      <c r="P96" s="32"/>
      <c r="Q96" s="32"/>
      <c r="R96" s="32">
        <f>('Pm indices'!B95^'Pm wts'!B$22)*('Pm indices'!C95^'Pm wts'!C$22)*('Pm indices'!D95^'Pm wts'!D$22)*('Pm indices'!G95^'Pm wts'!G$22)*('Pm indices'!F95^'Pm wts'!F$22)</f>
        <v>109.10651155873992</v>
      </c>
      <c r="S96" s="32"/>
      <c r="T96" s="32">
        <f>('Pm indices'!B95^'Pm wts'!B$25)*('Pm indices'!C95^'Pm wts'!C$25)*('Pm indices'!D95^'Pm wts'!D$25)*('Pm indices'!G95^'Pm wts'!G$25)*('Pm indices'!F95^'Pm wts'!F$25)</f>
        <v>114.67624675019046</v>
      </c>
      <c r="U96" s="32"/>
      <c r="V96" s="32"/>
      <c r="W96" s="32"/>
      <c r="X96" s="32"/>
      <c r="Y96" s="32"/>
      <c r="AA96" s="51"/>
      <c r="AB96" s="51"/>
      <c r="AC96" s="51"/>
      <c r="AD96" s="51"/>
      <c r="AE96" s="51"/>
      <c r="AF96" s="51"/>
      <c r="AG96" s="51"/>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row>
    <row r="97" spans="1:209">
      <c r="A97" s="4">
        <v>1872</v>
      </c>
      <c r="B97" s="35">
        <f t="shared" si="11"/>
        <v>132.02869617735459</v>
      </c>
      <c r="C97" s="75"/>
      <c r="D97" s="32"/>
      <c r="E97" s="32"/>
      <c r="F97" s="32">
        <f t="shared" si="10"/>
        <v>114.74492904968791</v>
      </c>
      <c r="G97" s="32">
        <f t="shared" si="12"/>
        <v>123.77195032114199</v>
      </c>
      <c r="H97" s="32"/>
      <c r="I97" s="32"/>
      <c r="J97" s="32"/>
      <c r="K97" s="32"/>
      <c r="L97" s="32"/>
      <c r="M97" s="32"/>
      <c r="N97" s="32"/>
      <c r="O97" s="32"/>
      <c r="P97" s="32"/>
      <c r="Q97" s="32"/>
      <c r="R97" s="32">
        <f>('Pm indices'!B96^'Pm wts'!B$22)*('Pm indices'!C96^'Pm wts'!C$22)*('Pm indices'!D96^'Pm wts'!D$22)*('Pm indices'!G96^'Pm wts'!G$22)*('Pm indices'!F96^'Pm wts'!F$22)</f>
        <v>114.95683758528469</v>
      </c>
      <c r="S97" s="32"/>
      <c r="T97" s="32">
        <f>('Pm indices'!B96^'Pm wts'!B$25)*('Pm indices'!C96^'Pm wts'!C$25)*('Pm indices'!D96^'Pm wts'!D$25)*('Pm indices'!G96^'Pm wts'!G$25)*('Pm indices'!F96^'Pm wts'!F$25)</f>
        <v>123.77195032114199</v>
      </c>
      <c r="U97" s="32"/>
      <c r="V97" s="32"/>
      <c r="W97" s="32"/>
      <c r="X97" s="32"/>
      <c r="Y97" s="32"/>
      <c r="AA97" s="51"/>
      <c r="AB97" s="51"/>
      <c r="AC97" s="51"/>
      <c r="AD97" s="51"/>
      <c r="AE97" s="51"/>
      <c r="AF97" s="51"/>
      <c r="AG97" s="51"/>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row>
    <row r="98" spans="1:209">
      <c r="A98" s="4">
        <v>1873</v>
      </c>
      <c r="B98" s="35">
        <f t="shared" si="11"/>
        <v>135.48143600345063</v>
      </c>
      <c r="C98" s="75"/>
      <c r="D98" s="32"/>
      <c r="E98" s="32"/>
      <c r="F98" s="32">
        <f t="shared" si="10"/>
        <v>118.61663559345557</v>
      </c>
      <c r="G98" s="32">
        <f t="shared" si="12"/>
        <v>126.07618179541603</v>
      </c>
      <c r="H98" s="32"/>
      <c r="I98" s="32"/>
      <c r="J98" s="32"/>
      <c r="K98" s="32"/>
      <c r="L98" s="32"/>
      <c r="M98" s="32"/>
      <c r="N98" s="32"/>
      <c r="O98" s="32"/>
      <c r="P98" s="32"/>
      <c r="Q98" s="32"/>
      <c r="R98" s="32">
        <f>('Pm indices'!B97^'Pm wts'!B$22)*('Pm indices'!C97^'Pm wts'!C$22)*('Pm indices'!D97^'Pm wts'!D$22)*('Pm indices'!G97^'Pm wts'!G$22)*('Pm indices'!F97^'Pm wts'!F$22)</f>
        <v>118.83569431573811</v>
      </c>
      <c r="S98" s="32"/>
      <c r="T98" s="32">
        <f>('Pm indices'!B97^'Pm wts'!B$25)*('Pm indices'!C97^'Pm wts'!C$25)*('Pm indices'!D97^'Pm wts'!D$25)*('Pm indices'!G97^'Pm wts'!G$25)*('Pm indices'!F97^'Pm wts'!F$25)</f>
        <v>126.07618179541603</v>
      </c>
      <c r="U98" s="32"/>
      <c r="V98" s="32"/>
      <c r="W98" s="32"/>
      <c r="X98" s="32"/>
      <c r="Y98" s="32"/>
      <c r="AA98" s="51"/>
      <c r="AB98" s="51"/>
      <c r="AC98" s="51"/>
      <c r="AD98" s="51"/>
      <c r="AE98" s="51"/>
      <c r="AF98" s="51"/>
      <c r="AG98" s="51"/>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row>
    <row r="99" spans="1:209">
      <c r="A99" s="4">
        <v>1874</v>
      </c>
      <c r="B99" s="35">
        <f t="shared" si="11"/>
        <v>130.50293761993768</v>
      </c>
      <c r="C99" s="75"/>
      <c r="D99" s="32"/>
      <c r="E99" s="32"/>
      <c r="F99" s="32">
        <f t="shared" si="10"/>
        <v>114.90312131491558</v>
      </c>
      <c r="G99" s="32">
        <f t="shared" si="12"/>
        <v>120.7613101856959</v>
      </c>
      <c r="H99" s="32"/>
      <c r="I99" s="32"/>
      <c r="J99" s="32"/>
      <c r="K99" s="32"/>
      <c r="L99" s="32"/>
      <c r="M99" s="32"/>
      <c r="N99" s="32"/>
      <c r="O99" s="32"/>
      <c r="P99" s="32"/>
      <c r="Q99" s="32"/>
      <c r="R99" s="32">
        <f>('Pm indices'!B98^'Pm wts'!B$22)*('Pm indices'!C98^'Pm wts'!C$22)*('Pm indices'!D98^'Pm wts'!D$22)*('Pm indices'!G98^'Pm wts'!G$22)*('Pm indices'!F98^'Pm wts'!F$22)</f>
        <v>115.1153219966799</v>
      </c>
      <c r="S99" s="32"/>
      <c r="T99" s="32">
        <f>('Pm indices'!B98^'Pm wts'!B$25)*('Pm indices'!C98^'Pm wts'!C$25)*('Pm indices'!D98^'Pm wts'!D$25)*('Pm indices'!G98^'Pm wts'!G$25)*('Pm indices'!F98^'Pm wts'!F$25)</f>
        <v>120.7613101856959</v>
      </c>
      <c r="U99" s="32"/>
      <c r="V99" s="32"/>
      <c r="W99" s="32"/>
      <c r="X99" s="32"/>
      <c r="Y99" s="32"/>
      <c r="AA99" s="51"/>
      <c r="AB99" s="51"/>
      <c r="AC99" s="51"/>
      <c r="AD99" s="51"/>
      <c r="AE99" s="51"/>
      <c r="AF99" s="51"/>
      <c r="AG99" s="51"/>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row>
    <row r="100" spans="1:209">
      <c r="A100" s="4">
        <v>1875</v>
      </c>
      <c r="B100" s="35">
        <f t="shared" si="11"/>
        <v>124.66027896139234</v>
      </c>
      <c r="C100" s="75"/>
      <c r="D100" s="32"/>
      <c r="E100" s="32"/>
      <c r="F100" s="32">
        <f t="shared" si="10"/>
        <v>109.9452577697076</v>
      </c>
      <c r="G100" s="32">
        <f t="shared" si="12"/>
        <v>115.15923044934121</v>
      </c>
      <c r="H100" s="32"/>
      <c r="I100" s="32"/>
      <c r="J100" s="32"/>
      <c r="K100" s="32"/>
      <c r="L100" s="32"/>
      <c r="M100" s="32"/>
      <c r="N100" s="32"/>
      <c r="O100" s="32"/>
      <c r="P100" s="32"/>
      <c r="Q100" s="32"/>
      <c r="R100" s="32">
        <f>('Pm indices'!B99^'Pm wts'!B$22)*('Pm indices'!C99^'Pm wts'!C$22)*('Pm indices'!D99^'Pm wts'!D$22)*('Pm indices'!G99^'Pm wts'!G$22)*('Pm indices'!F99^'Pm wts'!F$22)</f>
        <v>110.14830237274796</v>
      </c>
      <c r="S100" s="32"/>
      <c r="T100" s="32">
        <f>('Pm indices'!B99^'Pm wts'!B$25)*('Pm indices'!C99^'Pm wts'!C$25)*('Pm indices'!D99^'Pm wts'!D$25)*('Pm indices'!G99^'Pm wts'!G$25)*('Pm indices'!F99^'Pm wts'!F$25)</f>
        <v>115.15923044934121</v>
      </c>
      <c r="U100" s="32"/>
      <c r="V100" s="32"/>
      <c r="W100" s="32"/>
      <c r="X100" s="32"/>
      <c r="Y100" s="32"/>
      <c r="AA100" s="51"/>
      <c r="AB100" s="51"/>
      <c r="AC100" s="51"/>
      <c r="AD100" s="51"/>
      <c r="AE100" s="51"/>
      <c r="AF100" s="51"/>
      <c r="AG100" s="51"/>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row>
    <row r="101" spans="1:209">
      <c r="A101" s="4">
        <v>1876</v>
      </c>
      <c r="B101" s="35">
        <f t="shared" si="11"/>
        <v>120.42087802816343</v>
      </c>
      <c r="C101" s="75"/>
      <c r="D101" s="32"/>
      <c r="E101" s="32"/>
      <c r="F101" s="32">
        <f t="shared" si="10"/>
        <v>107.00933843310763</v>
      </c>
      <c r="G101" s="32">
        <f t="shared" si="12"/>
        <v>110.40810779253907</v>
      </c>
      <c r="H101" s="32"/>
      <c r="I101" s="32"/>
      <c r="J101" s="32"/>
      <c r="K101" s="32"/>
      <c r="L101" s="32"/>
      <c r="M101" s="32"/>
      <c r="N101" s="32"/>
      <c r="O101" s="32"/>
      <c r="P101" s="32"/>
      <c r="Q101" s="32"/>
      <c r="R101" s="32">
        <f>('Pm indices'!B100^'Pm wts'!B$22)*('Pm indices'!C100^'Pm wts'!C$22)*('Pm indices'!D100^'Pm wts'!D$22)*('Pm indices'!G100^'Pm wts'!G$22)*('Pm indices'!F100^'Pm wts'!F$22)</f>
        <v>107.20696104170867</v>
      </c>
      <c r="S101" s="32"/>
      <c r="T101" s="32">
        <f>('Pm indices'!B100^'Pm wts'!B$25)*('Pm indices'!C100^'Pm wts'!C$25)*('Pm indices'!D100^'Pm wts'!D$25)*('Pm indices'!G100^'Pm wts'!G$25)*('Pm indices'!F100^'Pm wts'!F$25)</f>
        <v>110.40810779253907</v>
      </c>
      <c r="U101" s="32"/>
      <c r="V101" s="32"/>
      <c r="W101" s="32"/>
      <c r="X101" s="32"/>
      <c r="Y101" s="32"/>
      <c r="AA101" s="51"/>
      <c r="AB101" s="51"/>
      <c r="AC101" s="51"/>
      <c r="AD101" s="51"/>
      <c r="AE101" s="51"/>
      <c r="AF101" s="51"/>
      <c r="AG101" s="51"/>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row>
    <row r="102" spans="1:209">
      <c r="A102" s="4">
        <v>1877</v>
      </c>
      <c r="B102" s="35">
        <f t="shared" si="11"/>
        <v>116.38984691291006</v>
      </c>
      <c r="C102" s="75"/>
      <c r="D102" s="32"/>
      <c r="E102" s="32"/>
      <c r="F102" s="32">
        <f t="shared" si="10"/>
        <v>103.53559786874428</v>
      </c>
      <c r="G102" s="32">
        <f t="shared" si="12"/>
        <v>106.60057942554477</v>
      </c>
      <c r="H102" s="32"/>
      <c r="I102" s="32"/>
      <c r="J102" s="32"/>
      <c r="K102" s="32"/>
      <c r="L102" s="32"/>
      <c r="M102" s="32"/>
      <c r="N102" s="32"/>
      <c r="O102" s="32"/>
      <c r="P102" s="32"/>
      <c r="Q102" s="32"/>
      <c r="R102" s="32">
        <f>('Pm indices'!B101^'Pm wts'!B$22)*('Pm indices'!C101^'Pm wts'!C$22)*('Pm indices'!D101^'Pm wts'!D$22)*('Pm indices'!G101^'Pm wts'!G$22)*('Pm indices'!F101^'Pm wts'!F$22)</f>
        <v>103.72680524590864</v>
      </c>
      <c r="S102" s="32"/>
      <c r="T102" s="32">
        <f>('Pm indices'!B101^'Pm wts'!B$25)*('Pm indices'!C101^'Pm wts'!C$25)*('Pm indices'!D101^'Pm wts'!D$25)*('Pm indices'!G101^'Pm wts'!G$25)*('Pm indices'!F101^'Pm wts'!F$25)</f>
        <v>106.60057942554477</v>
      </c>
      <c r="U102" s="32"/>
      <c r="V102" s="32"/>
      <c r="W102" s="32"/>
      <c r="X102" s="32"/>
      <c r="Y102" s="32"/>
      <c r="AA102" s="51"/>
      <c r="AB102" s="51"/>
      <c r="AC102" s="51"/>
      <c r="AD102" s="51"/>
      <c r="AE102" s="51"/>
      <c r="AF102" s="51"/>
      <c r="AG102" s="51"/>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row>
    <row r="103" spans="1:209">
      <c r="A103" s="4">
        <v>1878</v>
      </c>
      <c r="B103" s="35">
        <f t="shared" si="11"/>
        <v>111.29051538071869</v>
      </c>
      <c r="C103" s="75"/>
      <c r="D103" s="32"/>
      <c r="E103" s="32"/>
      <c r="F103" s="32">
        <f t="shared" si="10"/>
        <v>98.776263859359972</v>
      </c>
      <c r="G103" s="32">
        <f t="shared" si="12"/>
        <v>102.16044571046687</v>
      </c>
      <c r="H103" s="32"/>
      <c r="I103" s="32"/>
      <c r="J103" s="32"/>
      <c r="K103" s="32"/>
      <c r="L103" s="32"/>
      <c r="M103" s="32"/>
      <c r="N103" s="32"/>
      <c r="O103" s="32"/>
      <c r="P103" s="32"/>
      <c r="Q103" s="32"/>
      <c r="R103" s="32">
        <f>('Pm indices'!B102^'Pm wts'!B$22)*('Pm indices'!C102^'Pm wts'!C$22)*('Pm indices'!D102^'Pm wts'!D$22)*('Pm indices'!G102^'Pm wts'!G$22)*('Pm indices'!F102^'Pm wts'!F$22)</f>
        <v>98.958681797995794</v>
      </c>
      <c r="S103" s="32"/>
      <c r="T103" s="32">
        <f>('Pm indices'!B102^'Pm wts'!B$25)*('Pm indices'!C102^'Pm wts'!C$25)*('Pm indices'!D102^'Pm wts'!D$25)*('Pm indices'!G102^'Pm wts'!G$25)*('Pm indices'!F102^'Pm wts'!F$25)</f>
        <v>102.16044571046687</v>
      </c>
      <c r="U103" s="32"/>
      <c r="V103" s="32"/>
      <c r="W103" s="32"/>
      <c r="X103" s="32"/>
      <c r="Y103" s="32"/>
      <c r="AA103" s="51"/>
      <c r="AB103" s="51"/>
      <c r="AC103" s="51"/>
      <c r="AD103" s="51"/>
      <c r="AE103" s="51"/>
      <c r="AF103" s="51"/>
      <c r="AG103" s="51"/>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row>
    <row r="104" spans="1:209">
      <c r="A104" s="4">
        <v>1879</v>
      </c>
      <c r="B104" s="35">
        <f t="shared" si="11"/>
        <v>107.92441655175833</v>
      </c>
      <c r="C104" s="75"/>
      <c r="D104" s="32"/>
      <c r="E104" s="32"/>
      <c r="F104" s="32">
        <f t="shared" si="10"/>
        <v>96.085480784826913</v>
      </c>
      <c r="G104" s="32">
        <f t="shared" si="12"/>
        <v>98.764465672406629</v>
      </c>
      <c r="H104" s="32"/>
      <c r="I104" s="32"/>
      <c r="J104" s="32"/>
      <c r="K104" s="32"/>
      <c r="L104" s="32"/>
      <c r="M104" s="32"/>
      <c r="N104" s="32"/>
      <c r="O104" s="32"/>
      <c r="P104" s="32"/>
      <c r="Q104" s="32"/>
      <c r="R104" s="32">
        <f>('Pm indices'!B103^'Pm wts'!B$22)*('Pm indices'!C103^'Pm wts'!C$22)*('Pm indices'!D103^'Pm wts'!D$22)*('Pm indices'!G103^'Pm wts'!G$22)*('Pm indices'!F103^'Pm wts'!F$22)</f>
        <v>96.262929441546262</v>
      </c>
      <c r="S104" s="32"/>
      <c r="T104" s="32">
        <f>('Pm indices'!B103^'Pm wts'!B$25)*('Pm indices'!C103^'Pm wts'!C$25)*('Pm indices'!D103^'Pm wts'!D$25)*('Pm indices'!G103^'Pm wts'!G$25)*('Pm indices'!F103^'Pm wts'!F$25)</f>
        <v>98.764465672406629</v>
      </c>
      <c r="U104" s="32"/>
      <c r="V104" s="32"/>
      <c r="W104" s="32"/>
      <c r="X104" s="32"/>
      <c r="Y104" s="32"/>
      <c r="AA104" s="51"/>
      <c r="AB104" s="51"/>
      <c r="AC104" s="51"/>
      <c r="AD104" s="51"/>
      <c r="AE104" s="51"/>
      <c r="AF104" s="51"/>
      <c r="AG104" s="51"/>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row>
    <row r="105" spans="1:209">
      <c r="A105" s="4">
        <v>1880</v>
      </c>
      <c r="B105" s="35">
        <f t="shared" si="11"/>
        <v>113.34928650651855</v>
      </c>
      <c r="C105" s="75"/>
      <c r="D105" s="32"/>
      <c r="E105" s="32"/>
      <c r="F105" s="32">
        <f t="shared" si="10"/>
        <v>101.62352756922748</v>
      </c>
      <c r="G105" s="32">
        <f t="shared" si="12"/>
        <v>103.00596673328899</v>
      </c>
      <c r="H105" s="32"/>
      <c r="I105" s="32"/>
      <c r="J105" s="32"/>
      <c r="K105" s="32"/>
      <c r="L105" s="32"/>
      <c r="M105" s="32"/>
      <c r="N105" s="32"/>
      <c r="O105" s="32"/>
      <c r="P105" s="32"/>
      <c r="Q105" s="32"/>
      <c r="R105" s="32">
        <f t="array" ref="R105">('Pm indices'!B104^'Pm wts'!B$22)*('Pm indices'!C104^'Pm wts'!C$22)*('Pm indices'!D104^'Pm wts'!D$22)*('Pm indices'!G104^'Pm wts'!G$22)*('Pm indices'!F104^'Pm wts'!F$22)</f>
        <v>101.81120377494501</v>
      </c>
      <c r="S105" s="32">
        <f>('Pm indices'!B104^'Pm wts'!B$23)*('Pm indices'!C104^'Pm wts'!C$23)*('Pm indices'!D104^'Pm wts'!D$23)*('Pm indices'!G104^'Pm wts'!G$23)*('Pm indices'!F104^'Pm wts'!F$23)*('Pm indices'!E104^'Pm wts'!E$23)</f>
        <v>103.11541181125006</v>
      </c>
      <c r="T105" s="32">
        <f>('Pm indices'!B104^'Pm wts'!B$25)*('Pm indices'!C104^'Pm wts'!C$25)*('Pm indices'!D104^'Pm wts'!D$25)*('Pm indices'!G104^'Pm wts'!G$25)*('Pm indices'!F104^'Pm wts'!F$25)</f>
        <v>103.00596673328899</v>
      </c>
      <c r="U105" s="32">
        <f>('Pm indices'!B104^'Pm wts'!B$26)*('Pm indices'!C104^'Pm wts'!C$26)*('Pm indices'!D104^'Pm wts'!D$26)*('Pm indices'!G104^'Pm wts'!G$26)*('Pm indices'!F104^'Pm wts'!F$26)*('Pm indices'!E104^'Pm wts'!E$26)</f>
        <v>106.15561467165782</v>
      </c>
      <c r="V105" s="32"/>
      <c r="W105" s="32"/>
      <c r="X105" s="32"/>
      <c r="Y105" s="32"/>
      <c r="AA105" s="51"/>
      <c r="AB105" s="51"/>
      <c r="AC105" s="51"/>
      <c r="AD105" s="51"/>
      <c r="AE105" s="51"/>
      <c r="AF105" s="51"/>
      <c r="AG105" s="51"/>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row>
    <row r="106" spans="1:209">
      <c r="A106" s="4">
        <v>1881</v>
      </c>
      <c r="B106" s="35">
        <f t="shared" si="11"/>
        <v>110.11772417441031</v>
      </c>
      <c r="C106" s="75"/>
      <c r="D106" s="32"/>
      <c r="E106" s="32"/>
      <c r="F106" s="32">
        <f t="shared" ref="F106:F115" si="13">(S106/S$105)*F$105</f>
        <v>98.230371835278106</v>
      </c>
      <c r="G106" s="32">
        <f t="shared" ref="G106:G135" si="14">(U106/U$105)*G$105</f>
        <v>100.57446553982561</v>
      </c>
      <c r="H106" s="32"/>
      <c r="I106" s="32"/>
      <c r="J106" s="32"/>
      <c r="K106" s="32"/>
      <c r="L106" s="32"/>
      <c r="M106" s="32"/>
      <c r="N106" s="32"/>
      <c r="O106" s="32"/>
      <c r="P106" s="32"/>
      <c r="Q106" s="32"/>
      <c r="R106" s="32"/>
      <c r="S106" s="32">
        <f>('Pm indices'!B105^'Pm wts'!B$23)*('Pm indices'!C105^'Pm wts'!C$23)*('Pm indices'!D105^'Pm wts'!D$23)*('Pm indices'!G105^'Pm wts'!G$23)*('Pm indices'!F105^'Pm wts'!F$23)*('Pm indices'!E105^'Pm wts'!E$23)</f>
        <v>99.672442853027803</v>
      </c>
      <c r="T106" s="32"/>
      <c r="U106" s="32">
        <f>('Pm indices'!B105^'Pm wts'!B$26)*('Pm indices'!C105^'Pm wts'!C$26)*('Pm indices'!D105^'Pm wts'!D$26)*('Pm indices'!G105^'Pm wts'!G$26)*('Pm indices'!F105^'Pm wts'!F$26)*('Pm indices'!E105^'Pm wts'!E$26)</f>
        <v>103.64976465196611</v>
      </c>
      <c r="V106" s="32"/>
      <c r="W106" s="32"/>
      <c r="X106" s="32"/>
      <c r="Y106" s="32"/>
      <c r="AA106" s="51"/>
      <c r="AB106" s="51"/>
      <c r="AC106" s="51"/>
      <c r="AD106" s="51"/>
      <c r="AE106" s="51"/>
      <c r="AF106" s="51"/>
      <c r="AG106" s="51"/>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row>
    <row r="107" spans="1:209">
      <c r="A107" s="4">
        <v>1882</v>
      </c>
      <c r="B107" s="35">
        <f t="shared" si="11"/>
        <v>109.5299317071635</v>
      </c>
      <c r="C107" s="75"/>
      <c r="D107" s="32"/>
      <c r="E107" s="32"/>
      <c r="F107" s="32">
        <f t="shared" si="13"/>
        <v>96.740832043679788</v>
      </c>
      <c r="G107" s="32">
        <f t="shared" si="14"/>
        <v>101.03570646455105</v>
      </c>
      <c r="H107" s="32"/>
      <c r="I107" s="32"/>
      <c r="J107" s="32"/>
      <c r="K107" s="32"/>
      <c r="L107" s="32"/>
      <c r="M107" s="32"/>
      <c r="N107" s="32"/>
      <c r="O107" s="32"/>
      <c r="P107" s="32"/>
      <c r="Q107" s="32"/>
      <c r="R107" s="32"/>
      <c r="S107" s="32">
        <f>('Pm indices'!B106^'Pm wts'!B$23)*('Pm indices'!C106^'Pm wts'!C$23)*('Pm indices'!D106^'Pm wts'!D$23)*('Pm indices'!G106^'Pm wts'!G$23)*('Pm indices'!F106^'Pm wts'!F$23)*('Pm indices'!E106^'Pm wts'!E$23)</f>
        <v>98.161035871851382</v>
      </c>
      <c r="T107" s="32"/>
      <c r="U107" s="32">
        <f>('Pm indices'!B106^'Pm wts'!B$26)*('Pm indices'!C106^'Pm wts'!C$26)*('Pm indices'!D106^'Pm wts'!D$26)*('Pm indices'!G106^'Pm wts'!G$26)*('Pm indices'!F106^'Pm wts'!F$26)*('Pm indices'!E106^'Pm wts'!E$26)</f>
        <v>104.12510909490246</v>
      </c>
      <c r="V107" s="32"/>
      <c r="W107" s="32"/>
      <c r="X107" s="32"/>
      <c r="Y107" s="32"/>
      <c r="AA107" s="51"/>
      <c r="AB107" s="51"/>
      <c r="AC107" s="51"/>
      <c r="AD107" s="51"/>
      <c r="AE107" s="51"/>
      <c r="AF107" s="51"/>
      <c r="AG107" s="51"/>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row>
    <row r="108" spans="1:209">
      <c r="A108" s="4">
        <v>1883</v>
      </c>
      <c r="B108" s="35">
        <f t="shared" si="11"/>
        <v>104.37258991031925</v>
      </c>
      <c r="C108" s="75"/>
      <c r="D108" s="32"/>
      <c r="E108" s="32"/>
      <c r="F108" s="32">
        <f t="shared" si="13"/>
        <v>91.604967633991819</v>
      </c>
      <c r="G108" s="32">
        <f t="shared" si="14"/>
        <v>96.888662760015748</v>
      </c>
      <c r="H108" s="32"/>
      <c r="I108" s="32"/>
      <c r="J108" s="32"/>
      <c r="K108" s="32"/>
      <c r="L108" s="32"/>
      <c r="M108" s="32"/>
      <c r="N108" s="32"/>
      <c r="O108" s="32"/>
      <c r="P108" s="32"/>
      <c r="Q108" s="32"/>
      <c r="R108" s="32"/>
      <c r="S108" s="32">
        <f>('Pm indices'!B107^'Pm wts'!B$23)*('Pm indices'!C107^'Pm wts'!C$23)*('Pm indices'!D107^'Pm wts'!D$23)*('Pm indices'!G107^'Pm wts'!G$23)*('Pm indices'!F107^'Pm wts'!F$23)*('Pm indices'!E107^'Pm wts'!E$23)</f>
        <v>92.949774402395363</v>
      </c>
      <c r="T108" s="32"/>
      <c r="U108" s="32">
        <f>('Pm indices'!B107^'Pm wts'!B$26)*('Pm indices'!C107^'Pm wts'!C$26)*('Pm indices'!D107^'Pm wts'!D$26)*('Pm indices'!G107^'Pm wts'!G$26)*('Pm indices'!F107^'Pm wts'!F$26)*('Pm indices'!E107^'Pm wts'!E$26)</f>
        <v>99.851259846294781</v>
      </c>
      <c r="V108" s="32"/>
      <c r="W108" s="32"/>
      <c r="X108" s="32"/>
      <c r="Y108" s="32"/>
      <c r="AA108" s="51"/>
      <c r="AB108" s="51"/>
      <c r="AC108" s="51"/>
      <c r="AD108" s="51"/>
      <c r="AE108" s="51"/>
      <c r="AF108" s="51"/>
      <c r="AG108" s="51"/>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row>
    <row r="109" spans="1:209">
      <c r="A109" s="4">
        <v>1884</v>
      </c>
      <c r="B109" s="35">
        <f t="shared" si="11"/>
        <v>101.68064959454092</v>
      </c>
      <c r="C109" s="75"/>
      <c r="D109" s="32"/>
      <c r="E109" s="32"/>
      <c r="F109" s="32">
        <f t="shared" si="13"/>
        <v>89.917924881607021</v>
      </c>
      <c r="G109" s="32">
        <f t="shared" si="14"/>
        <v>93.680546475792823</v>
      </c>
      <c r="H109" s="32"/>
      <c r="I109" s="32"/>
      <c r="J109" s="32"/>
      <c r="K109" s="32"/>
      <c r="L109" s="32"/>
      <c r="M109" s="32"/>
      <c r="N109" s="32"/>
      <c r="O109" s="32"/>
      <c r="P109" s="32"/>
      <c r="Q109" s="32"/>
      <c r="R109" s="32"/>
      <c r="S109" s="32">
        <f>('Pm indices'!B108^'Pm wts'!B$23)*('Pm indices'!C108^'Pm wts'!C$23)*('Pm indices'!D108^'Pm wts'!D$23)*('Pm indices'!G108^'Pm wts'!G$23)*('Pm indices'!F108^'Pm wts'!F$23)*('Pm indices'!E108^'Pm wts'!E$23)</f>
        <v>91.237965018128136</v>
      </c>
      <c r="T109" s="32"/>
      <c r="U109" s="32">
        <f>('Pm indices'!B108^'Pm wts'!B$26)*('Pm indices'!C108^'Pm wts'!C$26)*('Pm indices'!D108^'Pm wts'!D$26)*('Pm indices'!G108^'Pm wts'!G$26)*('Pm indices'!F108^'Pm wts'!F$26)*('Pm indices'!E108^'Pm wts'!E$26)</f>
        <v>96.545047916148604</v>
      </c>
      <c r="V109" s="32"/>
      <c r="W109" s="32"/>
      <c r="X109" s="32"/>
      <c r="Y109" s="32"/>
      <c r="AA109" s="51"/>
      <c r="AB109" s="51"/>
      <c r="AC109" s="51"/>
      <c r="AD109" s="51"/>
      <c r="AE109" s="51"/>
      <c r="AF109" s="51"/>
      <c r="AG109" s="51"/>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row>
    <row r="110" spans="1:209">
      <c r="A110" s="4">
        <v>1885</v>
      </c>
      <c r="B110" s="35">
        <f t="shared" si="11"/>
        <v>96.915645419723091</v>
      </c>
      <c r="C110" s="75"/>
      <c r="D110" s="32"/>
      <c r="E110" s="32"/>
      <c r="F110" s="32">
        <f t="shared" si="13"/>
        <v>85.801493947875528</v>
      </c>
      <c r="G110" s="32">
        <f t="shared" si="14"/>
        <v>89.18914528291387</v>
      </c>
      <c r="H110" s="32"/>
      <c r="I110" s="32"/>
      <c r="J110" s="32"/>
      <c r="K110" s="32"/>
      <c r="L110" s="32"/>
      <c r="M110" s="32"/>
      <c r="N110" s="32"/>
      <c r="O110" s="32"/>
      <c r="P110" s="32"/>
      <c r="Q110" s="32"/>
      <c r="R110" s="32"/>
      <c r="S110" s="32">
        <f>('Pm indices'!B109^'Pm wts'!B$23)*('Pm indices'!C109^'Pm wts'!C$23)*('Pm indices'!D109^'Pm wts'!D$23)*('Pm indices'!G109^'Pm wts'!G$23)*('Pm indices'!F109^'Pm wts'!F$23)*('Pm indices'!E109^'Pm wts'!E$23)</f>
        <v>87.061102818229202</v>
      </c>
      <c r="T110" s="32"/>
      <c r="U110" s="32">
        <f>('Pm indices'!B109^'Pm wts'!B$26)*('Pm indices'!C109^'Pm wts'!C$26)*('Pm indices'!D109^'Pm wts'!D$26)*('Pm indices'!G109^'Pm wts'!G$26)*('Pm indices'!F109^'Pm wts'!F$26)*('Pm indices'!E109^'Pm wts'!E$26)</f>
        <v>91.916311644961354</v>
      </c>
      <c r="V110" s="32"/>
      <c r="W110" s="32"/>
      <c r="X110" s="32"/>
      <c r="Y110" s="32"/>
      <c r="AA110" s="51"/>
      <c r="AB110" s="51"/>
      <c r="AC110" s="51"/>
      <c r="AD110" s="51"/>
      <c r="AE110" s="51"/>
      <c r="AF110" s="51"/>
      <c r="AG110" s="51"/>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row>
    <row r="111" spans="1:209">
      <c r="A111" s="4">
        <v>1886</v>
      </c>
      <c r="B111" s="35">
        <f t="shared" si="11"/>
        <v>93.000234825098872</v>
      </c>
      <c r="C111" s="75"/>
      <c r="D111" s="32"/>
      <c r="E111" s="32"/>
      <c r="F111" s="32">
        <f t="shared" si="13"/>
        <v>82.319875172751765</v>
      </c>
      <c r="G111" s="32">
        <f t="shared" si="14"/>
        <v>85.601712722397536</v>
      </c>
      <c r="H111" s="32"/>
      <c r="I111" s="32"/>
      <c r="J111" s="32"/>
      <c r="K111" s="32"/>
      <c r="L111" s="32"/>
      <c r="M111" s="32"/>
      <c r="N111" s="32"/>
      <c r="O111" s="32"/>
      <c r="P111" s="32"/>
      <c r="Q111" s="32"/>
      <c r="R111" s="32"/>
      <c r="S111" s="32">
        <f>('Pm indices'!B110^'Pm wts'!B$23)*('Pm indices'!C110^'Pm wts'!C$23)*('Pm indices'!D110^'Pm wts'!D$23)*('Pm indices'!G110^'Pm wts'!G$23)*('Pm indices'!F110^'Pm wts'!F$23)*('Pm indices'!E110^'Pm wts'!E$23)</f>
        <v>83.528372137116961</v>
      </c>
      <c r="T111" s="32"/>
      <c r="U111" s="32">
        <f>('Pm indices'!B110^'Pm wts'!B$26)*('Pm indices'!C110^'Pm wts'!C$26)*('Pm indices'!D110^'Pm wts'!D$26)*('Pm indices'!G110^'Pm wts'!G$26)*('Pm indices'!F110^'Pm wts'!F$26)*('Pm indices'!E110^'Pm wts'!E$26)</f>
        <v>88.21918495772006</v>
      </c>
      <c r="V111" s="32"/>
      <c r="W111" s="32"/>
      <c r="X111" s="32"/>
      <c r="Y111" s="32"/>
      <c r="AA111" s="51"/>
      <c r="AB111" s="51"/>
      <c r="AC111" s="51"/>
      <c r="AD111" s="51"/>
      <c r="AE111" s="51"/>
      <c r="AF111" s="51"/>
      <c r="AG111" s="51"/>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row>
    <row r="112" spans="1:209">
      <c r="A112" s="4">
        <v>1887</v>
      </c>
      <c r="B112" s="35">
        <f t="shared" si="11"/>
        <v>94.311283944426975</v>
      </c>
      <c r="C112" s="75"/>
      <c r="D112" s="32"/>
      <c r="E112" s="32"/>
      <c r="F112" s="32">
        <f t="shared" si="13"/>
        <v>84.381944955741474</v>
      </c>
      <c r="G112" s="32">
        <f t="shared" si="14"/>
        <v>85.880952065665426</v>
      </c>
      <c r="H112" s="32"/>
      <c r="I112" s="32"/>
      <c r="J112" s="32"/>
      <c r="K112" s="32"/>
      <c r="L112" s="32"/>
      <c r="M112" s="32"/>
      <c r="N112" s="32"/>
      <c r="O112" s="32"/>
      <c r="P112" s="32"/>
      <c r="Q112" s="32"/>
      <c r="R112" s="32"/>
      <c r="S112" s="32">
        <f>('Pm indices'!B111^'Pm wts'!B$23)*('Pm indices'!C111^'Pm wts'!C$23)*('Pm indices'!D111^'Pm wts'!D$23)*('Pm indices'!G111^'Pm wts'!G$23)*('Pm indices'!F111^'Pm wts'!F$23)*('Pm indices'!E111^'Pm wts'!E$23)</f>
        <v>85.620714136479961</v>
      </c>
      <c r="T112" s="32"/>
      <c r="U112" s="32">
        <f>('Pm indices'!B111^'Pm wts'!B$26)*('Pm indices'!C111^'Pm wts'!C$26)*('Pm indices'!D111^'Pm wts'!D$26)*('Pm indices'!G111^'Pm wts'!G$26)*('Pm indices'!F111^'Pm wts'!F$26)*('Pm indices'!E111^'Pm wts'!E$26)</f>
        <v>88.506962695895822</v>
      </c>
      <c r="V112" s="32"/>
      <c r="W112" s="32"/>
      <c r="X112" s="32"/>
      <c r="Y112" s="32"/>
      <c r="AA112" s="51"/>
      <c r="AB112" s="51"/>
      <c r="AC112" s="51"/>
      <c r="AD112" s="51"/>
      <c r="AE112" s="51"/>
      <c r="AF112" s="51"/>
      <c r="AG112" s="51"/>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row>
    <row r="113" spans="1:209">
      <c r="A113" s="4">
        <v>1888</v>
      </c>
      <c r="B113" s="35">
        <f t="shared" si="11"/>
        <v>96.082690020344401</v>
      </c>
      <c r="C113" s="75"/>
      <c r="D113" s="32"/>
      <c r="E113" s="32"/>
      <c r="F113" s="32">
        <f t="shared" si="13"/>
        <v>86.734807131233453</v>
      </c>
      <c r="G113" s="32">
        <f t="shared" si="14"/>
        <v>86.719338605016105</v>
      </c>
      <c r="H113" s="32"/>
      <c r="I113" s="32"/>
      <c r="J113" s="32"/>
      <c r="K113" s="32"/>
      <c r="L113" s="32"/>
      <c r="M113" s="32"/>
      <c r="N113" s="32"/>
      <c r="O113" s="32"/>
      <c r="P113" s="32"/>
      <c r="Q113" s="32"/>
      <c r="R113" s="32"/>
      <c r="S113" s="32">
        <f>('Pm indices'!B112^'Pm wts'!B$23)*('Pm indices'!C112^'Pm wts'!C$23)*('Pm indices'!D112^'Pm wts'!D$23)*('Pm indices'!G112^'Pm wts'!G$23)*('Pm indices'!F112^'Pm wts'!F$23)*('Pm indices'!E112^'Pm wts'!E$23)</f>
        <v>88.008117506193685</v>
      </c>
      <c r="T113" s="32"/>
      <c r="U113" s="32">
        <f>('Pm indices'!B112^'Pm wts'!B$26)*('Pm indices'!C112^'Pm wts'!C$26)*('Pm indices'!D112^'Pm wts'!D$26)*('Pm indices'!G112^'Pm wts'!G$26)*('Pm indices'!F112^'Pm wts'!F$26)*('Pm indices'!E112^'Pm wts'!E$26)</f>
        <v>89.370984861210374</v>
      </c>
      <c r="V113" s="32"/>
      <c r="W113" s="32"/>
      <c r="X113" s="32"/>
      <c r="Y113" s="32"/>
      <c r="AA113" s="51"/>
      <c r="AB113" s="51"/>
      <c r="AC113" s="51"/>
      <c r="AD113" s="51"/>
      <c r="AE113" s="51"/>
      <c r="AF113" s="51"/>
      <c r="AG113" s="51"/>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row>
    <row r="114" spans="1:209">
      <c r="A114" s="4">
        <v>1889</v>
      </c>
      <c r="B114" s="35">
        <f t="shared" si="11"/>
        <v>97.913647043885604</v>
      </c>
      <c r="C114" s="75"/>
      <c r="D114" s="32"/>
      <c r="E114" s="32"/>
      <c r="F114" s="32">
        <f t="shared" si="13"/>
        <v>88.495959280161827</v>
      </c>
      <c r="G114" s="32">
        <f t="shared" si="14"/>
        <v>88.263690096184931</v>
      </c>
      <c r="H114" s="32"/>
      <c r="I114" s="32"/>
      <c r="J114" s="32"/>
      <c r="K114" s="32"/>
      <c r="L114" s="32"/>
      <c r="M114" s="32"/>
      <c r="N114" s="32"/>
      <c r="O114" s="32"/>
      <c r="P114" s="32"/>
      <c r="Q114" s="32"/>
      <c r="R114" s="32"/>
      <c r="S114" s="32">
        <f>('Pm indices'!B113^'Pm wts'!B$23)*('Pm indices'!C113^'Pm wts'!C$23)*('Pm indices'!D113^'Pm wts'!D$23)*('Pm indices'!G113^'Pm wts'!G$23)*('Pm indices'!F113^'Pm wts'!F$23)*('Pm indices'!E113^'Pm wts'!E$23)</f>
        <v>89.795124250033666</v>
      </c>
      <c r="T114" s="32"/>
      <c r="U114" s="32">
        <f>('Pm indices'!B113^'Pm wts'!B$26)*('Pm indices'!C113^'Pm wts'!C$26)*('Pm indices'!D113^'Pm wts'!D$26)*('Pm indices'!G113^'Pm wts'!G$26)*('Pm indices'!F113^'Pm wts'!F$26)*('Pm indices'!E113^'Pm wts'!E$26)</f>
        <v>90.96255850508102</v>
      </c>
      <c r="V114" s="32"/>
      <c r="W114" s="32"/>
      <c r="X114" s="32"/>
      <c r="Y114" s="32"/>
      <c r="AA114" s="51"/>
      <c r="AB114" s="51"/>
      <c r="AC114" s="51"/>
      <c r="AD114" s="51"/>
      <c r="AE114" s="51"/>
      <c r="AF114" s="51"/>
      <c r="AG114" s="51"/>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row>
    <row r="115" spans="1:209">
      <c r="A115" s="4">
        <v>1890</v>
      </c>
      <c r="B115" s="35">
        <f t="shared" ref="B115:B134" si="15">(GEOMEAN(G115:H115)/GEOMEAN(G$135:H$135))*B$135</f>
        <v>97.913647043885604</v>
      </c>
      <c r="C115" s="75"/>
      <c r="D115" s="32"/>
      <c r="E115" s="32"/>
      <c r="F115" s="32">
        <f t="shared" si="13"/>
        <v>89.790785354354327</v>
      </c>
      <c r="G115" s="32">
        <f t="shared" si="14"/>
        <v>90.302975788923661</v>
      </c>
      <c r="H115" s="32">
        <f>('Pm indices'!B114^'Pm wts'!B$27)*('Pm indices'!C114^'Pm wts'!C$27)*('Pm indices'!D114^'Pm wts'!D$27)*('Pm indices'!G114^'Pm wts'!G$27)*('Pm indices'!F114^'Pm wts'!F$27)*('Pm indices'!E114^'Pm wts'!E$27)</f>
        <v>94.904395679057757</v>
      </c>
      <c r="I115" s="32"/>
      <c r="J115" s="32"/>
      <c r="K115" s="32"/>
      <c r="L115" s="32"/>
      <c r="M115" s="32"/>
      <c r="N115" s="32"/>
      <c r="O115" s="32"/>
      <c r="P115" s="32"/>
      <c r="Q115" s="32"/>
      <c r="R115" s="32"/>
      <c r="S115" s="32">
        <f>('Pm indices'!B114^'Pm wts'!B$23)*('Pm indices'!C114^'Pm wts'!C$23)*('Pm indices'!D114^'Pm wts'!D$23)*('Pm indices'!G114^'Pm wts'!G$23)*('Pm indices'!F114^'Pm wts'!F$23)*('Pm indices'!E114^'Pm wts'!E$23)</f>
        <v>91.108959018988628</v>
      </c>
      <c r="T115" s="32"/>
      <c r="U115" s="32">
        <f>('Pm indices'!B114^'Pm wts'!B$26)*('Pm indices'!C114^'Pm wts'!C$26)*('Pm indices'!D114^'Pm wts'!D$26)*('Pm indices'!G114^'Pm wts'!G$26)*('Pm indices'!F114^'Pm wts'!F$26)*('Pm indices'!E114^'Pm wts'!E$26)</f>
        <v>93.064200119341365</v>
      </c>
      <c r="V115" s="32"/>
      <c r="W115" s="32"/>
      <c r="X115" s="32"/>
      <c r="Y115" s="32"/>
      <c r="AA115" s="51"/>
      <c r="AB115" s="51"/>
      <c r="AC115" s="51"/>
      <c r="AD115" s="51"/>
      <c r="AE115" s="51"/>
      <c r="AF115" s="51"/>
      <c r="AG115" s="51"/>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row>
    <row r="116" spans="1:209">
      <c r="A116" s="4">
        <v>1891</v>
      </c>
      <c r="B116" s="35">
        <f t="shared" si="15"/>
        <v>96.316647099799596</v>
      </c>
      <c r="C116" s="75"/>
      <c r="D116" s="32"/>
      <c r="E116" s="32"/>
      <c r="F116" s="32"/>
      <c r="G116" s="32">
        <f t="shared" si="14"/>
        <v>88.872020476422634</v>
      </c>
      <c r="H116" s="32">
        <f>('Pm indices'!B115^'Pm wts'!B$27)*('Pm indices'!C115^'Pm wts'!C$27)*('Pm indices'!D115^'Pm wts'!D$27)*('Pm indices'!G115^'Pm wts'!G$27)*('Pm indices'!F115^'Pm wts'!F$27)*('Pm indices'!E115^'Pm wts'!E$27)</f>
        <v>93.312450230598017</v>
      </c>
      <c r="I116" s="32"/>
      <c r="J116" s="32"/>
      <c r="K116" s="32"/>
      <c r="L116" s="32"/>
      <c r="M116" s="32"/>
      <c r="N116" s="32"/>
      <c r="O116" s="32"/>
      <c r="P116" s="32"/>
      <c r="Q116" s="32"/>
      <c r="R116" s="32"/>
      <c r="S116" s="32"/>
      <c r="T116" s="32"/>
      <c r="U116" s="32">
        <f>('Pm indices'!B115^'Pm wts'!B$26)*('Pm indices'!C115^'Pm wts'!C$26)*('Pm indices'!D115^'Pm wts'!D$26)*('Pm indices'!G115^'Pm wts'!G$26)*('Pm indices'!F115^'Pm wts'!F$26)*('Pm indices'!E115^'Pm wts'!E$26)</f>
        <v>91.589490007066587</v>
      </c>
      <c r="V116" s="32"/>
      <c r="W116" s="32"/>
      <c r="X116" s="32"/>
      <c r="Y116" s="32"/>
      <c r="AA116" s="51"/>
      <c r="AB116" s="51"/>
      <c r="AC116" s="51"/>
      <c r="AD116" s="51"/>
      <c r="AE116" s="51"/>
      <c r="AF116" s="51"/>
      <c r="AG116" s="51"/>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row>
    <row r="117" spans="1:209">
      <c r="A117" s="4">
        <v>1892</v>
      </c>
      <c r="B117" s="35">
        <f t="shared" si="15"/>
        <v>91.997712968398261</v>
      </c>
      <c r="C117" s="75"/>
      <c r="D117" s="32"/>
      <c r="E117" s="32"/>
      <c r="F117" s="32"/>
      <c r="G117" s="32">
        <f t="shared" si="14"/>
        <v>85.044391597751869</v>
      </c>
      <c r="H117" s="32">
        <f>('Pm indices'!B116^'Pm wts'!B$27)*('Pm indices'!C116^'Pm wts'!C$27)*('Pm indices'!D116^'Pm wts'!D$27)*('Pm indices'!G116^'Pm wts'!G$27)*('Pm indices'!F116^'Pm wts'!F$27)*('Pm indices'!E116^'Pm wts'!E$27)</f>
        <v>88.963184235740854</v>
      </c>
      <c r="I117" s="32"/>
      <c r="J117" s="32"/>
      <c r="K117" s="32"/>
      <c r="L117" s="32"/>
      <c r="M117" s="32"/>
      <c r="N117" s="32"/>
      <c r="O117" s="32"/>
      <c r="P117" s="32"/>
      <c r="Q117" s="32"/>
      <c r="R117" s="32"/>
      <c r="S117" s="32"/>
      <c r="T117" s="32"/>
      <c r="U117" s="32">
        <f>('Pm indices'!B116^'Pm wts'!B$26)*('Pm indices'!C116^'Pm wts'!C$26)*('Pm indices'!D116^'Pm wts'!D$26)*('Pm indices'!G116^'Pm wts'!G$26)*('Pm indices'!F116^'Pm wts'!F$26)*('Pm indices'!E116^'Pm wts'!E$26)</f>
        <v>87.644822438416213</v>
      </c>
      <c r="V117" s="32"/>
      <c r="W117" s="32"/>
      <c r="X117" s="32"/>
      <c r="Y117" s="32"/>
      <c r="AA117" s="51"/>
      <c r="AB117" s="51"/>
      <c r="AC117" s="51"/>
      <c r="AD117" s="51"/>
      <c r="AE117" s="51"/>
      <c r="AF117" s="51"/>
      <c r="AG117" s="51"/>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row>
    <row r="118" spans="1:209">
      <c r="A118" s="4">
        <v>1893</v>
      </c>
      <c r="B118" s="35">
        <f t="shared" si="15"/>
        <v>91.919760828205497</v>
      </c>
      <c r="C118" s="75"/>
      <c r="D118" s="32"/>
      <c r="E118" s="32"/>
      <c r="F118" s="32"/>
      <c r="G118" s="32">
        <f t="shared" si="14"/>
        <v>85.173366778294849</v>
      </c>
      <c r="H118" s="32">
        <f>('Pm indices'!B117^'Pm wts'!B$27)*('Pm indices'!C117^'Pm wts'!C$27)*('Pm indices'!D117^'Pm wts'!D$27)*('Pm indices'!G117^'Pm wts'!G$27)*('Pm indices'!F117^'Pm wts'!F$27)*('Pm indices'!E117^'Pm wts'!E$27)</f>
        <v>88.678000525963625</v>
      </c>
      <c r="I118" s="32"/>
      <c r="J118" s="32"/>
      <c r="K118" s="32"/>
      <c r="L118" s="32"/>
      <c r="M118" s="32"/>
      <c r="N118" s="32"/>
      <c r="O118" s="32"/>
      <c r="P118" s="32"/>
      <c r="Q118" s="32"/>
      <c r="R118" s="32"/>
      <c r="S118" s="32"/>
      <c r="T118" s="32"/>
      <c r="U118" s="32">
        <f>('Pm indices'!B117^'Pm wts'!B$26)*('Pm indices'!C117^'Pm wts'!C$26)*('Pm indices'!D117^'Pm wts'!D$26)*('Pm indices'!G117^'Pm wts'!G$26)*('Pm indices'!F117^'Pm wts'!F$26)*('Pm indices'!E117^'Pm wts'!E$26)</f>
        <v>87.777741336244517</v>
      </c>
      <c r="V118" s="32"/>
      <c r="W118" s="32"/>
      <c r="X118" s="32"/>
      <c r="Y118" s="32"/>
      <c r="AA118" s="51"/>
      <c r="AB118" s="51"/>
      <c r="AC118" s="51"/>
      <c r="AD118" s="51"/>
      <c r="AE118" s="51"/>
      <c r="AF118" s="51"/>
      <c r="AG118" s="51"/>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row>
    <row r="119" spans="1:209">
      <c r="A119" s="4">
        <v>1894</v>
      </c>
      <c r="B119" s="35">
        <f t="shared" si="15"/>
        <v>85.655725921150349</v>
      </c>
      <c r="C119" s="75"/>
      <c r="D119" s="32"/>
      <c r="E119" s="32"/>
      <c r="F119" s="32"/>
      <c r="G119" s="32">
        <f t="shared" si="14"/>
        <v>79.720191275226398</v>
      </c>
      <c r="H119" s="32">
        <f>('Pm indices'!B118^'Pm wts'!B$27)*('Pm indices'!C118^'Pm wts'!C$27)*('Pm indices'!D118^'Pm wts'!D$27)*('Pm indices'!G118^'Pm wts'!G$27)*('Pm indices'!F118^'Pm wts'!F$27)*('Pm indices'!E118^'Pm wts'!E$27)</f>
        <v>82.270929413335963</v>
      </c>
      <c r="I119" s="32"/>
      <c r="J119" s="32"/>
      <c r="K119" s="32"/>
      <c r="L119" s="32"/>
      <c r="M119" s="32"/>
      <c r="N119" s="32"/>
      <c r="O119" s="32"/>
      <c r="P119" s="32"/>
      <c r="Q119" s="32"/>
      <c r="R119" s="32"/>
      <c r="S119" s="32"/>
      <c r="T119" s="32"/>
      <c r="U119" s="32">
        <f>('Pm indices'!B118^'Pm wts'!B$26)*('Pm indices'!C118^'Pm wts'!C$26)*('Pm indices'!D118^'Pm wts'!D$26)*('Pm indices'!G118^'Pm wts'!G$26)*('Pm indices'!F118^'Pm wts'!F$26)*('Pm indices'!E118^'Pm wts'!E$26)</f>
        <v>82.157822259716141</v>
      </c>
      <c r="V119" s="32"/>
      <c r="W119" s="32"/>
      <c r="X119" s="32"/>
      <c r="Y119" s="32"/>
      <c r="AA119" s="51"/>
      <c r="AB119" s="51"/>
      <c r="AC119" s="51"/>
      <c r="AD119" s="51"/>
      <c r="AE119" s="51"/>
      <c r="AF119" s="51"/>
      <c r="AG119" s="51"/>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row>
    <row r="120" spans="1:209">
      <c r="A120" s="4">
        <v>1895</v>
      </c>
      <c r="B120" s="35">
        <f t="shared" si="15"/>
        <v>84.426541177248893</v>
      </c>
      <c r="C120" s="75"/>
      <c r="D120" s="32"/>
      <c r="E120" s="32"/>
      <c r="F120" s="32"/>
      <c r="G120" s="32">
        <f t="shared" si="14"/>
        <v>78.174206363166306</v>
      </c>
      <c r="H120" s="32">
        <f>('Pm indices'!B119^'Pm wts'!B$27)*('Pm indices'!C119^'Pm wts'!C$27)*('Pm indices'!D119^'Pm wts'!D$27)*('Pm indices'!G119^'Pm wts'!G$27)*('Pm indices'!F119^'Pm wts'!F$27)*('Pm indices'!E119^'Pm wts'!E$27)</f>
        <v>81.507289150436023</v>
      </c>
      <c r="I120" s="32"/>
      <c r="J120" s="32"/>
      <c r="K120" s="32"/>
      <c r="L120" s="32"/>
      <c r="M120" s="32"/>
      <c r="N120" s="32"/>
      <c r="O120" s="32"/>
      <c r="P120" s="32"/>
      <c r="Q120" s="32"/>
      <c r="R120" s="32"/>
      <c r="S120" s="32"/>
      <c r="T120" s="32"/>
      <c r="U120" s="32">
        <f>('Pm indices'!B119^'Pm wts'!B$26)*('Pm indices'!C119^'Pm wts'!C$26)*('Pm indices'!D119^'Pm wts'!D$26)*('Pm indices'!G119^'Pm wts'!G$26)*('Pm indices'!F119^'Pm wts'!F$26)*('Pm indices'!E119^'Pm wts'!E$26)</f>
        <v>80.564565249296663</v>
      </c>
      <c r="V120" s="32"/>
      <c r="W120" s="32"/>
      <c r="X120" s="32"/>
      <c r="Y120" s="32"/>
      <c r="AA120" s="51"/>
      <c r="AB120" s="51"/>
      <c r="AC120" s="51"/>
      <c r="AD120" s="51"/>
      <c r="AE120" s="51"/>
      <c r="AF120" s="51"/>
      <c r="AG120" s="51"/>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row>
    <row r="121" spans="1:209">
      <c r="A121" s="4">
        <v>1896</v>
      </c>
      <c r="B121" s="35">
        <f t="shared" si="15"/>
        <v>83.632286981990518</v>
      </c>
      <c r="C121" s="75"/>
      <c r="D121" s="32"/>
      <c r="E121" s="32"/>
      <c r="F121" s="32"/>
      <c r="G121" s="32">
        <f t="shared" si="14"/>
        <v>77.43447055975372</v>
      </c>
      <c r="H121" s="32">
        <f>('Pm indices'!B120^'Pm wts'!B$27)*('Pm indices'!C120^'Pm wts'!C$27)*('Pm indices'!D120^'Pm wts'!D$27)*('Pm indices'!G120^'Pm wts'!G$27)*('Pm indices'!F120^'Pm wts'!F$27)*('Pm indices'!E120^'Pm wts'!E$27)</f>
        <v>80.744983158774986</v>
      </c>
      <c r="I121" s="32"/>
      <c r="J121" s="32"/>
      <c r="K121" s="32"/>
      <c r="L121" s="32"/>
      <c r="M121" s="32"/>
      <c r="N121" s="32"/>
      <c r="O121" s="32"/>
      <c r="P121" s="32"/>
      <c r="Q121" s="32"/>
      <c r="R121" s="32"/>
      <c r="S121" s="32"/>
      <c r="T121" s="32"/>
      <c r="U121" s="32">
        <f>('Pm indices'!B120^'Pm wts'!B$26)*('Pm indices'!C120^'Pm wts'!C$26)*('Pm indices'!D120^'Pm wts'!D$26)*('Pm indices'!G120^'Pm wts'!G$26)*('Pm indices'!F120^'Pm wts'!F$26)*('Pm indices'!E120^'Pm wts'!E$26)</f>
        <v>79.802210296508122</v>
      </c>
      <c r="V121" s="32"/>
      <c r="W121" s="32"/>
      <c r="X121" s="32"/>
      <c r="Y121" s="32"/>
      <c r="AA121" s="51"/>
      <c r="AB121" s="51"/>
      <c r="AC121" s="51"/>
      <c r="AD121" s="51"/>
      <c r="AE121" s="51"/>
      <c r="AF121" s="51"/>
      <c r="AG121" s="51"/>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row>
    <row r="122" spans="1:209">
      <c r="A122" s="4">
        <v>1897</v>
      </c>
      <c r="B122" s="35">
        <f t="shared" si="15"/>
        <v>82.225329016753136</v>
      </c>
      <c r="C122" s="75"/>
      <c r="D122" s="32"/>
      <c r="E122" s="32"/>
      <c r="F122" s="32"/>
      <c r="G122" s="32">
        <f t="shared" si="14"/>
        <v>76.195663692261192</v>
      </c>
      <c r="H122" s="32">
        <f>('Pm indices'!B121^'Pm wts'!B$27)*('Pm indices'!C121^'Pm wts'!C$27)*('Pm indices'!D121^'Pm wts'!D$27)*('Pm indices'!G121^'Pm wts'!G$27)*('Pm indices'!F121^'Pm wts'!F$27)*('Pm indices'!E121^'Pm wts'!E$27)</f>
        <v>79.320039017986289</v>
      </c>
      <c r="I122" s="32"/>
      <c r="J122" s="32"/>
      <c r="K122" s="32"/>
      <c r="L122" s="32"/>
      <c r="M122" s="32"/>
      <c r="N122" s="32"/>
      <c r="O122" s="32"/>
      <c r="P122" s="32"/>
      <c r="Q122" s="32"/>
      <c r="R122" s="32"/>
      <c r="S122" s="32"/>
      <c r="T122" s="32"/>
      <c r="U122" s="32">
        <f>('Pm indices'!B121^'Pm wts'!B$26)*('Pm indices'!C121^'Pm wts'!C$26)*('Pm indices'!D121^'Pm wts'!D$26)*('Pm indices'!G121^'Pm wts'!G$26)*('Pm indices'!F121^'Pm wts'!F$26)*('Pm indices'!E121^'Pm wts'!E$26)</f>
        <v>78.525524016589543</v>
      </c>
      <c r="V122" s="32"/>
      <c r="W122" s="32"/>
      <c r="X122" s="32"/>
      <c r="Y122" s="32"/>
      <c r="AA122" s="51"/>
      <c r="AB122" s="51"/>
      <c r="AC122" s="51"/>
      <c r="AD122" s="51"/>
      <c r="AE122" s="51"/>
      <c r="AF122" s="51"/>
      <c r="AG122" s="51"/>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row>
    <row r="123" spans="1:209">
      <c r="A123" s="4">
        <v>1898</v>
      </c>
      <c r="B123" s="35">
        <f t="shared" si="15"/>
        <v>82.415237050163967</v>
      </c>
      <c r="C123" s="75"/>
      <c r="D123" s="32"/>
      <c r="E123" s="32"/>
      <c r="F123" s="32"/>
      <c r="G123" s="32">
        <f t="shared" si="14"/>
        <v>76.514735245319571</v>
      </c>
      <c r="H123" s="32">
        <f>('Pm indices'!B122^'Pm wts'!B$27)*('Pm indices'!C122^'Pm wts'!C$27)*('Pm indices'!D122^'Pm wts'!D$27)*('Pm indices'!G122^'Pm wts'!G$27)*('Pm indices'!F122^'Pm wts'!F$27)*('Pm indices'!E122^'Pm wts'!E$27)</f>
        <v>79.354558538053695</v>
      </c>
      <c r="I123" s="32"/>
      <c r="J123" s="32"/>
      <c r="K123" s="32"/>
      <c r="L123" s="32"/>
      <c r="M123" s="32"/>
      <c r="N123" s="32"/>
      <c r="O123" s="32"/>
      <c r="P123" s="32"/>
      <c r="Q123" s="32"/>
      <c r="R123" s="32"/>
      <c r="S123" s="32"/>
      <c r="T123" s="32"/>
      <c r="U123" s="32">
        <f>('Pm indices'!B122^'Pm wts'!B$26)*('Pm indices'!C122^'Pm wts'!C$26)*('Pm indices'!D122^'Pm wts'!D$26)*('Pm indices'!G122^'Pm wts'!G$26)*('Pm indices'!F122^'Pm wts'!F$26)*('Pm indices'!E122^'Pm wts'!E$26)</f>
        <v>78.854351927373145</v>
      </c>
      <c r="V123" s="32"/>
      <c r="W123" s="32"/>
      <c r="X123" s="32"/>
      <c r="Y123" s="32"/>
      <c r="AA123" s="51"/>
      <c r="AB123" s="51"/>
      <c r="AC123" s="51"/>
      <c r="AD123" s="51"/>
      <c r="AE123" s="51"/>
      <c r="AF123" s="51"/>
      <c r="AG123" s="51"/>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row>
    <row r="124" spans="1:209">
      <c r="A124" s="4">
        <v>1899</v>
      </c>
      <c r="B124" s="35">
        <f t="shared" si="15"/>
        <v>86.327652157671267</v>
      </c>
      <c r="C124" s="75"/>
      <c r="D124" s="32"/>
      <c r="E124" s="32"/>
      <c r="F124" s="32"/>
      <c r="G124" s="32">
        <f t="shared" si="14"/>
        <v>80.087998705915965</v>
      </c>
      <c r="H124" s="32">
        <f>('Pm indices'!B123^'Pm wts'!B$27)*('Pm indices'!C123^'Pm wts'!C$27)*('Pm indices'!D123^'Pm wts'!D$27)*('Pm indices'!G123^'Pm wts'!G$27)*('Pm indices'!F123^'Pm wts'!F$27)*('Pm indices'!E123^'Pm wts'!E$27)</f>
        <v>83.18295676406764</v>
      </c>
      <c r="I124" s="32"/>
      <c r="J124" s="32"/>
      <c r="K124" s="32"/>
      <c r="L124" s="32"/>
      <c r="M124" s="32"/>
      <c r="N124" s="32"/>
      <c r="O124" s="32"/>
      <c r="P124" s="32"/>
      <c r="Q124" s="32"/>
      <c r="R124" s="32"/>
      <c r="S124" s="32"/>
      <c r="T124" s="32"/>
      <c r="U124" s="32">
        <f>('Pm indices'!B123^'Pm wts'!B$26)*('Pm indices'!C123^'Pm wts'!C$26)*('Pm indices'!D123^'Pm wts'!D$26)*('Pm indices'!G123^'Pm wts'!G$26)*('Pm indices'!F123^'Pm wts'!F$26)*('Pm indices'!E123^'Pm wts'!E$26)</f>
        <v>82.536876261381423</v>
      </c>
      <c r="V124" s="32"/>
      <c r="W124" s="32"/>
      <c r="X124" s="32"/>
      <c r="Y124" s="32"/>
      <c r="AA124" s="51"/>
      <c r="AB124" s="51"/>
      <c r="AC124" s="51"/>
      <c r="AD124" s="51"/>
      <c r="AE124" s="51"/>
      <c r="AF124" s="51"/>
      <c r="AG124" s="51"/>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row>
    <row r="125" spans="1:209">
      <c r="A125" s="4">
        <v>1900</v>
      </c>
      <c r="B125" s="35">
        <f t="shared" si="15"/>
        <v>95.036198111007153</v>
      </c>
      <c r="C125" s="75"/>
      <c r="D125" s="32"/>
      <c r="E125" s="32"/>
      <c r="F125" s="32"/>
      <c r="G125" s="32">
        <f t="shared" si="14"/>
        <v>88.595862702249889</v>
      </c>
      <c r="H125" s="32">
        <f>('Pm indices'!B124^'Pm wts'!B$27)*('Pm indices'!C124^'Pm wts'!C$27)*('Pm indices'!D124^'Pm wts'!D$27)*('Pm indices'!G124^'Pm wts'!G$27)*('Pm indices'!F124^'Pm wts'!F$27)*('Pm indices'!E124^'Pm wts'!E$27)</f>
        <v>91.1310979054999</v>
      </c>
      <c r="I125" s="32"/>
      <c r="J125" s="32"/>
      <c r="K125" s="32"/>
      <c r="L125" s="32"/>
      <c r="M125" s="32"/>
      <c r="N125" s="32"/>
      <c r="O125" s="32"/>
      <c r="P125" s="32"/>
      <c r="Q125" s="32"/>
      <c r="R125" s="32"/>
      <c r="S125" s="32"/>
      <c r="T125" s="32"/>
      <c r="U125" s="32">
        <f>('Pm indices'!B124^'Pm wts'!B$26)*('Pm indices'!C124^'Pm wts'!C$26)*('Pm indices'!D124^'Pm wts'!D$26)*('Pm indices'!G124^'Pm wts'!G$26)*('Pm indices'!F124^'Pm wts'!F$26)*('Pm indices'!E124^'Pm wts'!E$26)</f>
        <v>91.304888064156117</v>
      </c>
      <c r="V125" s="32"/>
      <c r="W125" s="32"/>
      <c r="X125" s="32"/>
      <c r="Y125" s="32"/>
      <c r="AA125" s="51"/>
      <c r="AB125" s="51"/>
      <c r="AC125" s="51"/>
      <c r="AD125" s="51"/>
      <c r="AE125" s="51"/>
      <c r="AF125" s="51"/>
      <c r="AG125" s="51"/>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row>
    <row r="126" spans="1:209">
      <c r="A126" s="4">
        <v>1901</v>
      </c>
      <c r="B126" s="35">
        <f t="shared" si="15"/>
        <v>90.39359291003322</v>
      </c>
      <c r="C126" s="75"/>
      <c r="D126" s="32"/>
      <c r="E126" s="32"/>
      <c r="F126" s="32"/>
      <c r="G126" s="32">
        <f t="shared" si="14"/>
        <v>84.308857513775067</v>
      </c>
      <c r="H126" s="32">
        <f>('Pm indices'!B125^'Pm wts'!B$27)*('Pm indices'!C125^'Pm wts'!C$27)*('Pm indices'!D125^'Pm wts'!D$27)*('Pm indices'!G125^'Pm wts'!G$27)*('Pm indices'!F125^'Pm wts'!F$27)*('Pm indices'!E125^'Pm wts'!E$27)</f>
        <v>86.637124397424202</v>
      </c>
      <c r="I126" s="32"/>
      <c r="J126" s="32"/>
      <c r="K126" s="32"/>
      <c r="L126" s="32"/>
      <c r="M126" s="32"/>
      <c r="N126" s="32"/>
      <c r="O126" s="32"/>
      <c r="P126" s="32"/>
      <c r="Q126" s="32"/>
      <c r="R126" s="32"/>
      <c r="S126" s="32"/>
      <c r="T126" s="32"/>
      <c r="U126" s="32">
        <f>('Pm indices'!B125^'Pm wts'!B$26)*('Pm indices'!C125^'Pm wts'!C$26)*('Pm indices'!D125^'Pm wts'!D$26)*('Pm indices'!G125^'Pm wts'!G$26)*('Pm indices'!F125^'Pm wts'!F$26)*('Pm indices'!E125^'Pm wts'!E$26)</f>
        <v>86.886797682445675</v>
      </c>
      <c r="V126" s="32"/>
      <c r="W126" s="32"/>
      <c r="X126" s="32"/>
      <c r="Y126" s="32"/>
      <c r="AA126" s="51"/>
      <c r="AB126" s="51"/>
      <c r="AC126" s="51"/>
      <c r="AD126" s="51"/>
      <c r="AE126" s="51"/>
      <c r="AF126" s="51"/>
      <c r="AG126" s="51"/>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row>
    <row r="127" spans="1:209">
      <c r="A127" s="4">
        <v>1902</v>
      </c>
      <c r="B127" s="35">
        <f t="shared" si="15"/>
        <v>88.583258873632417</v>
      </c>
      <c r="C127" s="75"/>
      <c r="D127" s="32"/>
      <c r="E127" s="32"/>
      <c r="F127" s="32"/>
      <c r="G127" s="32">
        <f t="shared" si="14"/>
        <v>82.322291886143063</v>
      </c>
      <c r="H127" s="32">
        <f>('Pm indices'!B126^'Pm wts'!B$27)*('Pm indices'!C126^'Pm wts'!C$27)*('Pm indices'!D126^'Pm wts'!D$27)*('Pm indices'!G126^'Pm wts'!G$27)*('Pm indices'!F126^'Pm wts'!F$27)*('Pm indices'!E126^'Pm wts'!E$27)</f>
        <v>85.209455386756844</v>
      </c>
      <c r="I127" s="32"/>
      <c r="J127" s="32"/>
      <c r="K127" s="32"/>
      <c r="L127" s="32"/>
      <c r="M127" s="32"/>
      <c r="N127" s="32"/>
      <c r="O127" s="32"/>
      <c r="P127" s="32"/>
      <c r="Q127" s="32"/>
      <c r="R127" s="32"/>
      <c r="S127" s="32"/>
      <c r="T127" s="32"/>
      <c r="U127" s="32">
        <f>('Pm indices'!B126^'Pm wts'!B$26)*('Pm indices'!C126^'Pm wts'!C$26)*('Pm indices'!D126^'Pm wts'!D$26)*('Pm indices'!G126^'Pm wts'!G$26)*('Pm indices'!F126^'Pm wts'!F$26)*('Pm indices'!E126^'Pm wts'!E$26)</f>
        <v>84.839488172377159</v>
      </c>
      <c r="V127" s="32"/>
      <c r="W127" s="32"/>
      <c r="X127" s="32"/>
      <c r="Y127" s="32"/>
      <c r="AA127" s="51"/>
      <c r="AB127" s="51"/>
      <c r="AC127" s="51"/>
      <c r="AD127" s="51"/>
      <c r="AE127" s="51"/>
      <c r="AF127" s="51"/>
      <c r="AG127" s="51"/>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row>
    <row r="128" spans="1:209">
      <c r="A128" s="4">
        <v>1903</v>
      </c>
      <c r="B128" s="35">
        <f t="shared" si="15"/>
        <v>89.996916067238914</v>
      </c>
      <c r="C128" s="75"/>
      <c r="D128" s="32"/>
      <c r="E128" s="32"/>
      <c r="F128" s="32"/>
      <c r="G128" s="32">
        <f t="shared" si="14"/>
        <v>83.381598779429694</v>
      </c>
      <c r="H128" s="32">
        <f>('Pm indices'!B127^'Pm wts'!B$27)*('Pm indices'!C127^'Pm wts'!C$27)*('Pm indices'!D127^'Pm wts'!D$27)*('Pm indices'!G127^'Pm wts'!G$27)*('Pm indices'!F127^'Pm wts'!F$27)*('Pm indices'!E127^'Pm wts'!E$27)</f>
        <v>86.833433275846019</v>
      </c>
      <c r="I128" s="32"/>
      <c r="J128" s="32"/>
      <c r="K128" s="32"/>
      <c r="L128" s="32"/>
      <c r="M128" s="32"/>
      <c r="N128" s="32"/>
      <c r="O128" s="32"/>
      <c r="P128" s="32"/>
      <c r="Q128" s="32"/>
      <c r="R128" s="32"/>
      <c r="S128" s="32"/>
      <c r="T128" s="32"/>
      <c r="U128" s="32">
        <f>('Pm indices'!B127^'Pm wts'!B$26)*('Pm indices'!C127^'Pm wts'!C$26)*('Pm indices'!D127^'Pm wts'!D$26)*('Pm indices'!G127^'Pm wts'!G$26)*('Pm indices'!F127^'Pm wts'!F$26)*('Pm indices'!E127^'Pm wts'!E$26)</f>
        <v>85.931185847269475</v>
      </c>
      <c r="V128" s="32"/>
      <c r="W128" s="32"/>
      <c r="X128" s="32"/>
      <c r="Y128" s="32"/>
      <c r="AA128" s="51"/>
      <c r="AB128" s="51"/>
      <c r="AC128" s="51"/>
      <c r="AD128" s="51"/>
      <c r="AE128" s="51"/>
      <c r="AF128" s="51"/>
      <c r="AG128" s="51"/>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row>
    <row r="129" spans="1:209">
      <c r="A129" s="4">
        <v>1904</v>
      </c>
      <c r="B129" s="35">
        <f t="shared" si="15"/>
        <v>91.046581866340958</v>
      </c>
      <c r="C129" s="75"/>
      <c r="D129" s="32"/>
      <c r="E129" s="32"/>
      <c r="F129" s="32"/>
      <c r="G129" s="32">
        <f t="shared" si="14"/>
        <v>84.337950118949976</v>
      </c>
      <c r="H129" s="32">
        <f>('Pm indices'!B128^'Pm wts'!B$27)*('Pm indices'!C128^'Pm wts'!C$27)*('Pm indices'!D128^'Pm wts'!D$27)*('Pm indices'!G128^'Pm wts'!G$27)*('Pm indices'!F128^'Pm wts'!F$27)*('Pm indices'!E128^'Pm wts'!E$27)</f>
        <v>87.863032057363853</v>
      </c>
      <c r="I129" s="32"/>
      <c r="J129" s="32"/>
      <c r="K129" s="32"/>
      <c r="L129" s="32"/>
      <c r="M129" s="32"/>
      <c r="N129" s="32"/>
      <c r="O129" s="32"/>
      <c r="P129" s="32"/>
      <c r="Q129" s="32"/>
      <c r="R129" s="32"/>
      <c r="S129" s="32"/>
      <c r="T129" s="32"/>
      <c r="U129" s="32">
        <f>('Pm indices'!B128^'Pm wts'!B$26)*('Pm indices'!C128^'Pm wts'!C$26)*('Pm indices'!D128^'Pm wts'!D$26)*('Pm indices'!G128^'Pm wts'!G$26)*('Pm indices'!F128^'Pm wts'!F$26)*('Pm indices'!E128^'Pm wts'!E$26)</f>
        <v>86.916779861951241</v>
      </c>
      <c r="V129" s="32"/>
      <c r="W129" s="32"/>
      <c r="X129" s="32"/>
      <c r="Y129" s="32"/>
      <c r="AA129" s="51"/>
      <c r="AB129" s="51"/>
      <c r="AC129" s="51"/>
      <c r="AD129" s="51"/>
      <c r="AE129" s="51"/>
      <c r="AF129" s="51"/>
      <c r="AG129" s="51"/>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row>
    <row r="130" spans="1:209">
      <c r="A130" s="4">
        <v>1905</v>
      </c>
      <c r="B130" s="35">
        <f t="shared" si="15"/>
        <v>91.532637135919686</v>
      </c>
      <c r="C130" s="75"/>
      <c r="D130" s="32"/>
      <c r="E130" s="32"/>
      <c r="F130" s="32"/>
      <c r="G130" s="32">
        <f t="shared" si="14"/>
        <v>84.89863547623392</v>
      </c>
      <c r="H130" s="32">
        <f>('Pm indices'!B129^'Pm wts'!B$27)*('Pm indices'!C129^'Pm wts'!C$27)*('Pm indices'!D129^'Pm wts'!D$27)*('Pm indices'!G129^'Pm wts'!G$27)*('Pm indices'!F129^'Pm wts'!F$27)*('Pm indices'!E129^'Pm wts'!E$27)</f>
        <v>88.217180920319393</v>
      </c>
      <c r="I130" s="32"/>
      <c r="J130" s="32"/>
      <c r="K130" s="32"/>
      <c r="L130" s="32"/>
      <c r="M130" s="32"/>
      <c r="N130" s="32"/>
      <c r="O130" s="32"/>
      <c r="P130" s="32"/>
      <c r="Q130" s="32"/>
      <c r="R130" s="32"/>
      <c r="S130" s="32"/>
      <c r="T130" s="32"/>
      <c r="U130" s="32">
        <f>('Pm indices'!B129^'Pm wts'!B$26)*('Pm indices'!C129^'Pm wts'!C$26)*('Pm indices'!D129^'Pm wts'!D$26)*('Pm indices'!G129^'Pm wts'!G$26)*('Pm indices'!F129^'Pm wts'!F$26)*('Pm indices'!E129^'Pm wts'!E$26)</f>
        <v>87.494609483161327</v>
      </c>
      <c r="V130" s="32"/>
      <c r="W130" s="32"/>
      <c r="X130" s="32"/>
      <c r="Y130" s="32"/>
      <c r="AA130" s="51"/>
      <c r="AB130" s="51"/>
      <c r="AC130" s="51"/>
      <c r="AD130" s="51"/>
      <c r="AE130" s="51"/>
      <c r="AF130" s="51"/>
      <c r="AG130" s="51"/>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row>
    <row r="131" spans="1:209">
      <c r="A131" s="4">
        <v>1906</v>
      </c>
      <c r="B131" s="35">
        <f t="shared" si="15"/>
        <v>95.559929437767423</v>
      </c>
      <c r="C131" s="75"/>
      <c r="D131" s="32"/>
      <c r="E131" s="32"/>
      <c r="F131" s="32"/>
      <c r="G131" s="32">
        <f t="shared" si="14"/>
        <v>88.827158437899413</v>
      </c>
      <c r="H131" s="32">
        <f>('Pm indices'!B130^'Pm wts'!B$27)*('Pm indices'!C130^'Pm wts'!C$27)*('Pm indices'!D130^'Pm wts'!D$27)*('Pm indices'!G130^'Pm wts'!G$27)*('Pm indices'!F130^'Pm wts'!F$27)*('Pm indices'!E130^'Pm wts'!E$27)</f>
        <v>91.898369705251241</v>
      </c>
      <c r="I131" s="32"/>
      <c r="J131" s="32"/>
      <c r="K131" s="32"/>
      <c r="L131" s="32"/>
      <c r="M131" s="32"/>
      <c r="N131" s="32"/>
      <c r="O131" s="32"/>
      <c r="P131" s="32"/>
      <c r="Q131" s="32"/>
      <c r="R131" s="32"/>
      <c r="S131" s="32"/>
      <c r="T131" s="32"/>
      <c r="U131" s="32">
        <f>('Pm indices'!B130^'Pm wts'!B$26)*('Pm indices'!C130^'Pm wts'!C$26)*('Pm indices'!D130^'Pm wts'!D$26)*('Pm indices'!G130^'Pm wts'!G$26)*('Pm indices'!F130^'Pm wts'!F$26)*('Pm indices'!E130^'Pm wts'!E$26)</f>
        <v>91.543256206968493</v>
      </c>
      <c r="V131" s="32"/>
      <c r="W131" s="32"/>
      <c r="X131" s="32"/>
      <c r="Y131" s="32"/>
      <c r="AA131" s="51"/>
      <c r="AB131" s="51"/>
      <c r="AC131" s="51"/>
      <c r="AD131" s="51"/>
      <c r="AE131" s="51"/>
      <c r="AF131" s="51"/>
      <c r="AG131" s="51"/>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row>
    <row r="132" spans="1:209">
      <c r="A132" s="4">
        <v>1907</v>
      </c>
      <c r="B132" s="35">
        <f t="shared" si="15"/>
        <v>99.519173734692728</v>
      </c>
      <c r="C132" s="75"/>
      <c r="D132" s="32"/>
      <c r="E132" s="32"/>
      <c r="F132" s="32"/>
      <c r="G132" s="32">
        <f t="shared" si="14"/>
        <v>92.312623976025677</v>
      </c>
      <c r="H132" s="32">
        <f>('Pm indices'!B131^'Pm wts'!B$27)*('Pm indices'!C131^'Pm wts'!C$27)*('Pm indices'!D131^'Pm wts'!D$27)*('Pm indices'!G131^'Pm wts'!G$27)*('Pm indices'!F131^'Pm wts'!F$27)*('Pm indices'!E131^'Pm wts'!E$27)</f>
        <v>95.907895815176019</v>
      </c>
      <c r="I132" s="32"/>
      <c r="J132" s="32"/>
      <c r="K132" s="32"/>
      <c r="L132" s="32"/>
      <c r="M132" s="32"/>
      <c r="N132" s="32"/>
      <c r="O132" s="32"/>
      <c r="P132" s="32"/>
      <c r="Q132" s="32"/>
      <c r="R132" s="32"/>
      <c r="S132" s="32"/>
      <c r="T132" s="32"/>
      <c r="U132" s="32">
        <f>('Pm indices'!B131^'Pm wts'!B$26)*('Pm indices'!C131^'Pm wts'!C$26)*('Pm indices'!D131^'Pm wts'!D$26)*('Pm indices'!G131^'Pm wts'!G$26)*('Pm indices'!F131^'Pm wts'!F$26)*('Pm indices'!E131^'Pm wts'!E$26)</f>
        <v>95.135297992030445</v>
      </c>
      <c r="V132" s="32"/>
      <c r="W132" s="32"/>
      <c r="X132" s="32"/>
      <c r="Y132" s="32"/>
      <c r="AA132" s="51"/>
      <c r="AB132" s="51"/>
      <c r="AC132" s="51"/>
      <c r="AD132" s="51"/>
      <c r="AE132" s="51"/>
      <c r="AF132" s="51"/>
      <c r="AG132" s="51"/>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row>
    <row r="133" spans="1:209">
      <c r="A133" s="4">
        <v>1908</v>
      </c>
      <c r="B133" s="35">
        <f t="shared" si="15"/>
        <v>95.720467497665567</v>
      </c>
      <c r="C133" s="75"/>
      <c r="D133" s="32"/>
      <c r="E133" s="32"/>
      <c r="F133" s="32"/>
      <c r="G133" s="32">
        <f t="shared" si="14"/>
        <v>89.09840594374144</v>
      </c>
      <c r="H133" s="32">
        <f>('Pm indices'!B132^'Pm wts'!B$27)*('Pm indices'!C132^'Pm wts'!C$27)*('Pm indices'!D132^'Pm wts'!D$27)*('Pm indices'!G132^'Pm wts'!G$27)*('Pm indices'!F132^'Pm wts'!F$27)*('Pm indices'!E132^'Pm wts'!E$27)</f>
        <v>91.92669014407376</v>
      </c>
      <c r="I133" s="32"/>
      <c r="J133" s="32"/>
      <c r="K133" s="32"/>
      <c r="L133" s="32"/>
      <c r="M133" s="32"/>
      <c r="N133" s="32"/>
      <c r="O133" s="32"/>
      <c r="P133" s="32"/>
      <c r="Q133" s="32"/>
      <c r="R133" s="32"/>
      <c r="S133" s="32"/>
      <c r="T133" s="32"/>
      <c r="U133" s="32">
        <f>('Pm indices'!B132^'Pm wts'!B$26)*('Pm indices'!C132^'Pm wts'!C$26)*('Pm indices'!D132^'Pm wts'!D$26)*('Pm indices'!G132^'Pm wts'!G$26)*('Pm indices'!F132^'Pm wts'!F$26)*('Pm indices'!E132^'Pm wts'!E$26)</f>
        <v>91.822797738629205</v>
      </c>
      <c r="V133" s="32"/>
      <c r="W133" s="32"/>
      <c r="X133" s="32"/>
      <c r="Y133" s="32"/>
      <c r="AA133" s="51"/>
      <c r="AB133" s="51"/>
      <c r="AC133" s="51"/>
      <c r="AD133" s="51"/>
      <c r="AE133" s="51"/>
      <c r="AF133" s="51"/>
      <c r="AG133" s="51"/>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row>
    <row r="134" spans="1:209">
      <c r="A134" s="4">
        <v>1909</v>
      </c>
      <c r="B134" s="35">
        <f t="shared" si="15"/>
        <v>94.958800703506668</v>
      </c>
      <c r="C134" s="75"/>
      <c r="D134" s="32"/>
      <c r="E134" s="32"/>
      <c r="F134" s="32"/>
      <c r="G134" s="32">
        <f t="shared" si="14"/>
        <v>88.040785118671451</v>
      </c>
      <c r="H134" s="32">
        <f>('Pm indices'!B133^'Pm wts'!B$27)*('Pm indices'!C133^'Pm wts'!C$27)*('Pm indices'!D133^'Pm wts'!D$27)*('Pm indices'!G133^'Pm wts'!G$27)*('Pm indices'!F133^'Pm wts'!F$27)*('Pm indices'!E133^'Pm wts'!E$27)</f>
        <v>91.556350009490771</v>
      </c>
      <c r="I134" s="32"/>
      <c r="J134" s="32"/>
      <c r="K134" s="32"/>
      <c r="L134" s="32"/>
      <c r="M134" s="32"/>
      <c r="N134" s="32"/>
      <c r="O134" s="32"/>
      <c r="P134" s="32"/>
      <c r="Q134" s="32"/>
      <c r="R134" s="32"/>
      <c r="S134" s="32"/>
      <c r="T134" s="32"/>
      <c r="U134" s="32">
        <f>('Pm indices'!B133^'Pm wts'!B$26)*('Pm indices'!C133^'Pm wts'!C$26)*('Pm indices'!D133^'Pm wts'!D$26)*('Pm indices'!G133^'Pm wts'!G$26)*('Pm indices'!F133^'Pm wts'!F$26)*('Pm indices'!E133^'Pm wts'!E$26)</f>
        <v>90.732837687426013</v>
      </c>
      <c r="V134" s="32"/>
      <c r="W134" s="32"/>
      <c r="X134" s="32"/>
      <c r="Y134" s="32"/>
      <c r="AA134" s="51"/>
      <c r="AB134" s="51"/>
      <c r="AC134" s="51"/>
      <c r="AD134" s="51"/>
      <c r="AE134" s="51"/>
      <c r="AF134" s="51"/>
      <c r="AG134" s="51"/>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row>
    <row r="135" spans="1:209">
      <c r="A135" s="4">
        <v>1910</v>
      </c>
      <c r="B135" s="35">
        <f>GEOMEAN(G135:I135)/GEOMEAN(G$135:I$135)*100</f>
        <v>100</v>
      </c>
      <c r="C135" s="75"/>
      <c r="D135" s="32"/>
      <c r="E135" s="32"/>
      <c r="F135" s="32"/>
      <c r="G135" s="32">
        <f t="shared" si="14"/>
        <v>92.703320288490374</v>
      </c>
      <c r="H135" s="32">
        <f>('Pm indices'!B134^'Pm wts'!B$27)*('Pm indices'!C134^'Pm wts'!C$27)*('Pm indices'!D134^'Pm wts'!D$27)*('Pm indices'!G134^'Pm wts'!G$27)*('Pm indices'!F134^'Pm wts'!F$27)*('Pm indices'!E134^'Pm wts'!E$27)</f>
        <v>96.428774255902752</v>
      </c>
      <c r="I135" s="32">
        <f>('Pm indices'!B134^'Pm wts'!B$28)*('Pm indices'!C134^'Pm wts'!C$28)*('Pm indices'!D134^'Pm wts'!D$28)*('Pm indices'!G134^'Pm wts'!G$28)*('Pm indices'!F134^'Pm wts'!F$28)*('Pm indices'!E134^'Pm wts'!E$28)</f>
        <v>97.914129283202257</v>
      </c>
      <c r="J135" s="32"/>
      <c r="K135" s="32"/>
      <c r="L135" s="32"/>
      <c r="M135" s="32"/>
      <c r="N135" s="32"/>
      <c r="O135" s="32"/>
      <c r="P135" s="32"/>
      <c r="Q135" s="32"/>
      <c r="R135" s="32"/>
      <c r="S135" s="32"/>
      <c r="T135" s="32"/>
      <c r="U135" s="32">
        <f>('Pm indices'!B134^'Pm wts'!B$26)*('Pm indices'!C134^'Pm wts'!C$26)*('Pm indices'!D134^'Pm wts'!D$26)*('Pm indices'!G134^'Pm wts'!G$26)*('Pm indices'!F134^'Pm wts'!F$26)*('Pm indices'!E134^'Pm wts'!E$26)</f>
        <v>95.537940756473688</v>
      </c>
      <c r="V135" s="32"/>
      <c r="W135" s="32"/>
      <c r="X135" s="32"/>
      <c r="Y135" s="32"/>
      <c r="AA135" s="51"/>
      <c r="AB135" s="51"/>
      <c r="AC135" s="51"/>
      <c r="AD135" s="51"/>
      <c r="AE135" s="51"/>
      <c r="AF135" s="51"/>
      <c r="AG135" s="51"/>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row>
    <row r="136" spans="1:209">
      <c r="A136" s="4">
        <v>1911</v>
      </c>
      <c r="B136" s="35">
        <f t="shared" ref="B136:B150" si="16">(GEOMEAN(H136:I136)/GEOMEAN(H$138:I$138))*100</f>
        <v>96.649633084953138</v>
      </c>
      <c r="C136" s="75"/>
      <c r="D136" s="32"/>
      <c r="E136" s="32"/>
      <c r="F136" s="32"/>
      <c r="G136" s="32"/>
      <c r="H136" s="32">
        <f>('Pm indices'!B135^'Pm wts'!B$27)*('Pm indices'!C135^'Pm wts'!C$27)*('Pm indices'!D135^'Pm wts'!D$27)*('Pm indices'!G135^'Pm wts'!G$27)*('Pm indices'!F135^'Pm wts'!F$27)*('Pm indices'!E135^'Pm wts'!E$27)</f>
        <v>96.568722307411178</v>
      </c>
      <c r="I136" s="32">
        <f>('Pm indices'!B135^'Pm wts'!B$28)*('Pm indices'!C135^'Pm wts'!C$28)*('Pm indices'!D135^'Pm wts'!D$28)*('Pm indices'!G135^'Pm wts'!G$28)*('Pm indices'!F135^'Pm wts'!F$28)*('Pm indices'!E135^'Pm wts'!E$28)</f>
        <v>96.730611654154558</v>
      </c>
      <c r="J136" s="32"/>
      <c r="K136" s="32"/>
      <c r="L136" s="32"/>
      <c r="M136" s="32"/>
      <c r="N136" s="32"/>
      <c r="O136" s="32"/>
      <c r="P136" s="32"/>
      <c r="Q136" s="32"/>
      <c r="R136" s="32"/>
      <c r="S136" s="32"/>
      <c r="T136" s="32"/>
      <c r="U136" s="32"/>
      <c r="V136" s="32"/>
      <c r="W136" s="32"/>
      <c r="X136" s="32"/>
      <c r="Y136" s="32"/>
      <c r="AA136" s="51"/>
      <c r="AB136" s="51"/>
      <c r="AC136" s="51"/>
      <c r="AD136" s="51"/>
      <c r="AE136" s="51"/>
      <c r="AF136" s="51"/>
      <c r="AG136" s="51"/>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row>
    <row r="137" spans="1:209">
      <c r="A137" s="4">
        <v>1912</v>
      </c>
      <c r="B137" s="35">
        <f t="shared" si="16"/>
        <v>98.373527018216194</v>
      </c>
      <c r="C137" s="75"/>
      <c r="D137" s="32"/>
      <c r="E137" s="32"/>
      <c r="F137" s="32"/>
      <c r="G137" s="32"/>
      <c r="H137" s="32">
        <f>('Pm indices'!B136^'Pm wts'!B$27)*('Pm indices'!C136^'Pm wts'!C$27)*('Pm indices'!D136^'Pm wts'!D$27)*('Pm indices'!G136^'Pm wts'!G$27)*('Pm indices'!F136^'Pm wts'!F$27)*('Pm indices'!E136^'Pm wts'!E$27)</f>
        <v>98.131161363222631</v>
      </c>
      <c r="I137" s="32">
        <f>('Pm indices'!B136^'Pm wts'!B$28)*('Pm indices'!C136^'Pm wts'!C$28)*('Pm indices'!D136^'Pm wts'!D$28)*('Pm indices'!G136^'Pm wts'!G$28)*('Pm indices'!F136^'Pm wts'!F$28)*('Pm indices'!E136^'Pm wts'!E$28)</f>
        <v>98.616491271146614</v>
      </c>
      <c r="J137" s="32"/>
      <c r="K137" s="32"/>
      <c r="L137" s="32"/>
      <c r="M137" s="32"/>
      <c r="N137" s="32"/>
      <c r="O137" s="32"/>
      <c r="P137" s="32"/>
      <c r="Q137" s="32"/>
      <c r="R137" s="32"/>
      <c r="S137" s="32"/>
      <c r="T137" s="32"/>
      <c r="U137" s="32"/>
      <c r="V137" s="32"/>
      <c r="W137" s="32"/>
      <c r="X137" s="32"/>
      <c r="Y137" s="32"/>
      <c r="AA137" s="51"/>
      <c r="AB137" s="51"/>
      <c r="AC137" s="51"/>
      <c r="AD137" s="51"/>
      <c r="AE137" s="51"/>
      <c r="AF137" s="51"/>
      <c r="AG137" s="51"/>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row>
    <row r="138" spans="1:209">
      <c r="A138" s="4">
        <v>1913</v>
      </c>
      <c r="B138" s="35">
        <f t="shared" si="16"/>
        <v>100</v>
      </c>
      <c r="C138" s="75"/>
      <c r="E138" s="32"/>
      <c r="F138" s="32"/>
      <c r="G138" s="32"/>
      <c r="H138" s="32">
        <f>('Pm indices'!B137^'Pm wts'!B$27)*('Pm indices'!C137^'Pm wts'!C$27)*('Pm indices'!D137^'Pm wts'!D$27)*('Pm indices'!G137^'Pm wts'!G$27)*('Pm indices'!F137^'Pm wts'!F$27)*('Pm indices'!E137^'Pm wts'!E$27)</f>
        <v>100.00000000000001</v>
      </c>
      <c r="I138" s="32">
        <f>('Pm indices'!B137^'Pm wts'!B$28)*('Pm indices'!C137^'Pm wts'!C$28)*('Pm indices'!D137^'Pm wts'!D$28)*('Pm indices'!G137^'Pm wts'!G$28)*('Pm indices'!F137^'Pm wts'!F$28)*('Pm indices'!E137^'Pm wts'!E$28)</f>
        <v>100.00000000000004</v>
      </c>
      <c r="J138" s="32"/>
      <c r="K138" s="32"/>
      <c r="L138" s="32"/>
      <c r="M138" s="32"/>
      <c r="N138" s="32"/>
      <c r="O138" s="32"/>
      <c r="P138" s="32"/>
      <c r="Q138" s="32"/>
      <c r="R138" s="32"/>
      <c r="S138" s="32"/>
      <c r="T138" s="32"/>
      <c r="U138" s="32"/>
      <c r="V138" s="32"/>
      <c r="W138" s="32"/>
      <c r="X138" s="32"/>
      <c r="Y138" s="32"/>
      <c r="AA138" s="51"/>
      <c r="AB138" s="51"/>
      <c r="AC138" s="51"/>
      <c r="AD138" s="51"/>
      <c r="AE138" s="51"/>
      <c r="AF138" s="51"/>
      <c r="AG138" s="51"/>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row>
    <row r="139" spans="1:209">
      <c r="A139" s="4">
        <v>1914</v>
      </c>
      <c r="B139" s="35">
        <f t="shared" si="16"/>
        <v>98.106473962834357</v>
      </c>
      <c r="C139" s="75"/>
      <c r="H139" s="51">
        <f>('Pm indices'!B138^'Pm wts'!B$27)*('Pm indices'!C138^'Pm wts'!C$27)*('Pm indices'!D138^'Pm wts'!D$27)*('Pm indices'!G138^'Pm wts'!G$27)*('Pm indices'!F138^'Pm wts'!F$27)*('Pm indices'!E138^'Pm wts'!E$27)</f>
        <v>98.535036806875212</v>
      </c>
      <c r="I139" s="51">
        <f>('Pm indices'!B138^'Pm wts'!B$28)*('Pm indices'!C138^'Pm wts'!C$28)*('Pm indices'!D138^'Pm wts'!D$28)*('Pm indices'!G138^'Pm wts'!G$28)*('Pm indices'!F138^'Pm wts'!F$28)*('Pm indices'!E138^'Pm wts'!E$28)</f>
        <v>97.679775086345003</v>
      </c>
    </row>
    <row r="140" spans="1:209">
      <c r="A140" s="4">
        <v>1915</v>
      </c>
      <c r="B140" s="35">
        <f t="shared" si="16"/>
        <v>115.00734314975858</v>
      </c>
      <c r="C140" s="75"/>
      <c r="H140" s="51">
        <f>('Pm indices'!B139^'Pm wts'!B$27)*('Pm indices'!C139^'Pm wts'!C$27)*('Pm indices'!D139^'Pm wts'!D$27)*('Pm indices'!G139^'Pm wts'!G$27)*('Pm indices'!F139^'Pm wts'!F$27)*('Pm indices'!E139^'Pm wts'!E$27)</f>
        <v>117.21216793587783</v>
      </c>
      <c r="I140" s="51">
        <f>('Pm indices'!B139^'Pm wts'!B$28)*('Pm indices'!C139^'Pm wts'!C$28)*('Pm indices'!D139^'Pm wts'!D$28)*('Pm indices'!G139^'Pm wts'!G$28)*('Pm indices'!F139^'Pm wts'!F$28)*('Pm indices'!E139^'Pm wts'!E$28)</f>
        <v>112.84399231999652</v>
      </c>
    </row>
    <row r="141" spans="1:209">
      <c r="A141" s="4">
        <v>1916</v>
      </c>
      <c r="B141" s="35">
        <f t="shared" si="16"/>
        <v>142.43254254472149</v>
      </c>
      <c r="C141" s="75"/>
      <c r="H141" s="51">
        <f>('Pm indices'!B140^'Pm wts'!B$27)*('Pm indices'!C140^'Pm wts'!C$27)*('Pm indices'!D140^'Pm wts'!D$27)*('Pm indices'!G140^'Pm wts'!G$27)*('Pm indices'!F140^'Pm wts'!F$27)*('Pm indices'!E140^'Pm wts'!E$27)</f>
        <v>144.54446533908336</v>
      </c>
      <c r="I141" s="51">
        <f>('Pm indices'!B140^'Pm wts'!B$28)*('Pm indices'!C140^'Pm wts'!C$28)*('Pm indices'!D140^'Pm wts'!D$28)*('Pm indices'!G140^'Pm wts'!G$28)*('Pm indices'!F140^'Pm wts'!F$28)*('Pm indices'!E140^'Pm wts'!E$28)</f>
        <v>140.35147681485466</v>
      </c>
    </row>
    <row r="142" spans="1:209">
      <c r="A142" s="4">
        <v>1917</v>
      </c>
      <c r="B142" s="35">
        <f t="shared" si="16"/>
        <v>187.21479597174749</v>
      </c>
      <c r="C142" s="75"/>
      <c r="H142" s="51">
        <f>('Pm indices'!B141^'Pm wts'!B$27)*('Pm indices'!C141^'Pm wts'!C$27)*('Pm indices'!D141^'Pm wts'!D$27)*('Pm indices'!G141^'Pm wts'!G$27)*('Pm indices'!F141^'Pm wts'!F$27)*('Pm indices'!E141^'Pm wts'!E$27)</f>
        <v>190.93212401883869</v>
      </c>
      <c r="I142" s="51">
        <f>('Pm indices'!B141^'Pm wts'!B$28)*('Pm indices'!C141^'Pm wts'!C$28)*('Pm indices'!D141^'Pm wts'!D$28)*('Pm indices'!G141^'Pm wts'!G$28)*('Pm indices'!F141^'Pm wts'!F$28)*('Pm indices'!E141^'Pm wts'!E$28)</f>
        <v>183.56984195747404</v>
      </c>
    </row>
    <row r="143" spans="1:209">
      <c r="A143" s="4">
        <v>1918</v>
      </c>
      <c r="B143" s="35">
        <f t="shared" si="16"/>
        <v>221.7864879724039</v>
      </c>
      <c r="C143" s="75"/>
      <c r="H143" s="51">
        <f>('Pm indices'!B142^'Pm wts'!B$27)*('Pm indices'!C142^'Pm wts'!C$27)*('Pm indices'!D142^'Pm wts'!D$27)*('Pm indices'!G142^'Pm wts'!G$27)*('Pm indices'!F142^'Pm wts'!F$27)*('Pm indices'!E142^'Pm wts'!E$27)</f>
        <v>226.73081712615038</v>
      </c>
      <c r="I143" s="51">
        <f>('Pm indices'!B142^'Pm wts'!B$28)*('Pm indices'!C142^'Pm wts'!C$28)*('Pm indices'!D142^'Pm wts'!D$28)*('Pm indices'!G142^'Pm wts'!G$28)*('Pm indices'!F142^'Pm wts'!F$28)*('Pm indices'!E142^'Pm wts'!E$28)</f>
        <v>216.94998002748324</v>
      </c>
    </row>
    <row r="144" spans="1:209">
      <c r="A144" s="4">
        <v>1919</v>
      </c>
      <c r="B144" s="35">
        <f t="shared" si="16"/>
        <v>251.6173861701713</v>
      </c>
      <c r="C144" s="75"/>
      <c r="H144" s="51">
        <f>('Pm indices'!B143^'Pm wts'!B$27)*('Pm indices'!C143^'Pm wts'!C$27)*('Pm indices'!D143^'Pm wts'!D$27)*('Pm indices'!G143^'Pm wts'!G$27)*('Pm indices'!F143^'Pm wts'!F$27)*('Pm indices'!E143^'Pm wts'!E$27)</f>
        <v>255.58137080947463</v>
      </c>
      <c r="I144" s="51">
        <f>('Pm indices'!B143^'Pm wts'!B$28)*('Pm indices'!C143^'Pm wts'!C$28)*('Pm indices'!D143^'Pm wts'!D$28)*('Pm indices'!G143^'Pm wts'!G$28)*('Pm indices'!F143^'Pm wts'!F$28)*('Pm indices'!E143^'Pm wts'!E$28)</f>
        <v>247.71488165428607</v>
      </c>
    </row>
    <row r="145" spans="1:9">
      <c r="A145" s="4">
        <v>1920</v>
      </c>
      <c r="B145" s="35">
        <f t="shared" si="16"/>
        <v>270.19592795652858</v>
      </c>
      <c r="C145" s="75"/>
      <c r="H145" s="51">
        <f>('Pm indices'!B144^'Pm wts'!B$27)*('Pm indices'!C144^'Pm wts'!C$27)*('Pm indices'!D144^'Pm wts'!D$27)*('Pm indices'!G144^'Pm wts'!G$27)*('Pm indices'!F144^'Pm wts'!F$27)*('Pm indices'!E144^'Pm wts'!E$27)</f>
        <v>272.92189042742143</v>
      </c>
      <c r="I145" s="51">
        <f>('Pm indices'!B144^'Pm wts'!B$28)*('Pm indices'!C144^'Pm wts'!C$28)*('Pm indices'!D144^'Pm wts'!D$28)*('Pm indices'!G144^'Pm wts'!G$28)*('Pm indices'!F144^'Pm wts'!F$28)*('Pm indices'!E144^'Pm wts'!E$28)</f>
        <v>267.4971925848659</v>
      </c>
    </row>
    <row r="146" spans="1:9">
      <c r="A146" s="4">
        <v>1921</v>
      </c>
      <c r="B146" s="35">
        <f t="shared" si="16"/>
        <v>188.35842238187567</v>
      </c>
      <c r="C146" s="75"/>
      <c r="H146" s="51">
        <f>('Pm indices'!B145^'Pm wts'!B$27)*('Pm indices'!C145^'Pm wts'!C$27)*('Pm indices'!D145^'Pm wts'!D$27)*('Pm indices'!G145^'Pm wts'!G$27)*('Pm indices'!F145^'Pm wts'!F$27)*('Pm indices'!E145^'Pm wts'!E$27)</f>
        <v>192.68957408098501</v>
      </c>
      <c r="I146" s="51">
        <f>('Pm indices'!B145^'Pm wts'!B$28)*('Pm indices'!C145^'Pm wts'!C$28)*('Pm indices'!D145^'Pm wts'!D$28)*('Pm indices'!G145^'Pm wts'!G$28)*('Pm indices'!F145^'Pm wts'!F$28)*('Pm indices'!E145^'Pm wts'!E$28)</f>
        <v>184.12462351117009</v>
      </c>
    </row>
    <row r="147" spans="1:9">
      <c r="A147" s="4">
        <v>1922</v>
      </c>
      <c r="B147" s="35">
        <f t="shared" si="16"/>
        <v>161.02114632520167</v>
      </c>
      <c r="C147" s="75"/>
      <c r="H147" s="51">
        <f>('Pm indices'!B146^'Pm wts'!B$27)*('Pm indices'!C146^'Pm wts'!C$27)*('Pm indices'!D146^'Pm wts'!D$27)*('Pm indices'!G146^'Pm wts'!G$27)*('Pm indices'!F146^'Pm wts'!F$27)*('Pm indices'!E146^'Pm wts'!E$27)</f>
        <v>164.2136807325108</v>
      </c>
      <c r="I147" s="51">
        <f>('Pm indices'!B146^'Pm wts'!B$28)*('Pm indices'!C146^'Pm wts'!C$28)*('Pm indices'!D146^'Pm wts'!D$28)*('Pm indices'!G146^'Pm wts'!G$28)*('Pm indices'!F146^'Pm wts'!F$28)*('Pm indices'!E146^'Pm wts'!E$28)</f>
        <v>157.89067907268995</v>
      </c>
    </row>
    <row r="148" spans="1:9">
      <c r="A148" s="4">
        <v>1923</v>
      </c>
      <c r="B148" s="35">
        <f t="shared" si="16"/>
        <v>153.35455451787738</v>
      </c>
      <c r="C148" s="75"/>
      <c r="H148" s="51">
        <f>('Pm indices'!B147^'Pm wts'!B$27)*('Pm indices'!C147^'Pm wts'!C$27)*('Pm indices'!D147^'Pm wts'!D$27)*('Pm indices'!G147^'Pm wts'!G$27)*('Pm indices'!F147^'Pm wts'!F$27)*('Pm indices'!E147^'Pm wts'!E$27)</f>
        <v>155.15075136194841</v>
      </c>
      <c r="I148" s="51">
        <f>('Pm indices'!B147^'Pm wts'!B$28)*('Pm indices'!C147^'Pm wts'!C$28)*('Pm indices'!D147^'Pm wts'!D$28)*('Pm indices'!G147^'Pm wts'!G$28)*('Pm indices'!F147^'Pm wts'!F$28)*('Pm indices'!E147^'Pm wts'!E$28)</f>
        <v>151.57915243679884</v>
      </c>
    </row>
    <row r="149" spans="1:9">
      <c r="A149" s="4">
        <v>1924</v>
      </c>
      <c r="B149" s="35">
        <f t="shared" si="16"/>
        <v>159.46025074670558</v>
      </c>
      <c r="C149" s="75"/>
      <c r="H149" s="51">
        <f>('Pm indices'!B148^'Pm wts'!B$27)*('Pm indices'!C148^'Pm wts'!C$27)*('Pm indices'!D148^'Pm wts'!D$27)*('Pm indices'!G148^'Pm wts'!G$27)*('Pm indices'!F148^'Pm wts'!F$27)*('Pm indices'!E148^'Pm wts'!E$27)</f>
        <v>160.87424295033617</v>
      </c>
      <c r="I149" s="51">
        <f>('Pm indices'!B148^'Pm wts'!B$28)*('Pm indices'!C148^'Pm wts'!C$28)*('Pm indices'!D148^'Pm wts'!D$28)*('Pm indices'!G148^'Pm wts'!G$28)*('Pm indices'!F148^'Pm wts'!F$28)*('Pm indices'!E148^'Pm wts'!E$28)</f>
        <v>158.05868672247331</v>
      </c>
    </row>
    <row r="150" spans="1:9">
      <c r="A150" s="4">
        <v>1925</v>
      </c>
      <c r="B150" s="35">
        <f t="shared" si="16"/>
        <v>154.7310035685116</v>
      </c>
      <c r="C150" s="75"/>
      <c r="H150" s="32">
        <f>('Pm indices'!B149^'Pm wts'!B$27)*('Pm indices'!C149^'Pm wts'!C$27)*('Pm indices'!D149^'Pm wts'!D$27)*('Pm indices'!G149^'Pm wts'!G$27)*('Pm indices'!F149^'Pm wts'!F$27)*('Pm indices'!E149^'Pm wts'!E$27)</f>
        <v>156.13731883056531</v>
      </c>
      <c r="I150" s="32">
        <f>('Pm indices'!B149^'Pm wts'!B$28)*('Pm indices'!C149^'Pm wts'!C$28)*('Pm indices'!D149^'Pm wts'!D$28)*('Pm indices'!G149^'Pm wts'!G$28)*('Pm indices'!F149^'Pm wts'!F$28)*('Pm indices'!E149^'Pm wts'!E$28)</f>
        <v>153.33735486581156</v>
      </c>
    </row>
    <row r="151" spans="1:9">
      <c r="A151" s="4">
        <v>1926</v>
      </c>
      <c r="B151" s="35">
        <f t="shared" ref="B151:B163" si="17">(I151/I$150)*B$150</f>
        <v>145.24964240054931</v>
      </c>
      <c r="C151" s="75"/>
      <c r="H151" s="51">
        <f>('Pm indices'!B150^'Pm wts'!B$27)*('Pm indices'!C150^'Pm wts'!C$27)*('Pm indices'!D150^'Pm wts'!D$27)*('Pm indices'!G150^'Pm wts'!G$27)*('Pm indices'!F150^'Pm wts'!F$27)*('Pm indices'!E150^'Pm wts'!E$27)</f>
        <v>146.306300545884</v>
      </c>
      <c r="I151" s="32">
        <f>('Pm indices'!B150^'Pm wts'!B$28)*('Pm indices'!C150^'Pm wts'!C$28)*('Pm indices'!D150^'Pm wts'!D$28)*('Pm indices'!G150^'Pm wts'!G$28)*('Pm indices'!F150^'Pm wts'!F$28)*('Pm indices'!E150^'Pm wts'!E$28)</f>
        <v>143.94139149393939</v>
      </c>
    </row>
    <row r="152" spans="1:9">
      <c r="A152" s="4">
        <v>1927</v>
      </c>
      <c r="B152" s="35">
        <f t="shared" si="17"/>
        <v>140.93858620117641</v>
      </c>
      <c r="C152" s="75"/>
      <c r="H152" s="51">
        <f>('Pm indices'!B151^'Pm wts'!B$27)*('Pm indices'!C151^'Pm wts'!C$27)*('Pm indices'!D151^'Pm wts'!D$27)*('Pm indices'!G151^'Pm wts'!G$27)*('Pm indices'!F151^'Pm wts'!F$27)*('Pm indices'!E151^'Pm wts'!E$27)</f>
        <v>143.27468725936745</v>
      </c>
      <c r="I152" s="32">
        <f>('Pm indices'!B151^'Pm wts'!B$28)*('Pm indices'!C151^'Pm wts'!C$28)*('Pm indices'!D151^'Pm wts'!D$28)*('Pm indices'!G151^'Pm wts'!G$28)*('Pm indices'!F151^'Pm wts'!F$28)*('Pm indices'!E151^'Pm wts'!E$28)</f>
        <v>139.66916460311461</v>
      </c>
    </row>
    <row r="153" spans="1:9">
      <c r="A153" s="4">
        <v>1928</v>
      </c>
      <c r="B153" s="35">
        <f t="shared" si="17"/>
        <v>140.98618312480005</v>
      </c>
      <c r="C153" s="75"/>
      <c r="H153" s="51">
        <f>('Pm indices'!B152^'Pm wts'!B$27)*('Pm indices'!C152^'Pm wts'!C$27)*('Pm indices'!D152^'Pm wts'!D$27)*('Pm indices'!G152^'Pm wts'!G$27)*('Pm indices'!F152^'Pm wts'!F$27)*('Pm indices'!E152^'Pm wts'!E$27)</f>
        <v>142.38602161552114</v>
      </c>
      <c r="I153" s="32">
        <f>('Pm indices'!B152^'Pm wts'!B$28)*('Pm indices'!C152^'Pm wts'!C$28)*('Pm indices'!D152^'Pm wts'!D$28)*('Pm indices'!G152^'Pm wts'!G$28)*('Pm indices'!F152^'Pm wts'!F$28)*('Pm indices'!E152^'Pm wts'!E$28)</f>
        <v>139.71633282538343</v>
      </c>
    </row>
    <row r="154" spans="1:9">
      <c r="A154" s="4">
        <v>1929</v>
      </c>
      <c r="B154" s="35">
        <f t="shared" si="17"/>
        <v>137.063665538154</v>
      </c>
      <c r="C154" s="75"/>
      <c r="H154" s="51">
        <f>('Pm indices'!B153^'Pm wts'!B$27)*('Pm indices'!C153^'Pm wts'!C$27)*('Pm indices'!D153^'Pm wts'!D$27)*('Pm indices'!G153^'Pm wts'!G$27)*('Pm indices'!F153^'Pm wts'!F$27)*('Pm indices'!E153^'Pm wts'!E$27)</f>
        <v>138.40921650233764</v>
      </c>
      <c r="I154" s="32">
        <f>('Pm indices'!B153^'Pm wts'!B$28)*('Pm indices'!C153^'Pm wts'!C$28)*('Pm indices'!D153^'Pm wts'!D$28)*('Pm indices'!G153^'Pm wts'!G$28)*('Pm indices'!F153^'Pm wts'!F$28)*('Pm indices'!E153^'Pm wts'!E$28)</f>
        <v>135.8291450137655</v>
      </c>
    </row>
    <row r="155" spans="1:9">
      <c r="A155" s="4">
        <v>1930</v>
      </c>
      <c r="B155" s="35">
        <f t="shared" si="17"/>
        <v>124.02950188401873</v>
      </c>
      <c r="C155" s="75"/>
      <c r="H155" s="51">
        <f>('Pm indices'!B154^'Pm wts'!B$27)*('Pm indices'!C154^'Pm wts'!C$27)*('Pm indices'!D154^'Pm wts'!D$27)*('Pm indices'!G154^'Pm wts'!G$27)*('Pm indices'!F154^'Pm wts'!F$27)*('Pm indices'!E154^'Pm wts'!E$27)</f>
        <v>127.86052570902639</v>
      </c>
      <c r="I155" s="32">
        <f>('Pm indices'!B154^'Pm wts'!B$28)*('Pm indices'!C154^'Pm wts'!C$28)*('Pm indices'!D154^'Pm wts'!D$28)*('Pm indices'!G154^'Pm wts'!G$28)*('Pm indices'!F154^'Pm wts'!F$28)*('Pm indices'!E154^'Pm wts'!E$28)</f>
        <v>122.91237893896746</v>
      </c>
    </row>
    <row r="156" spans="1:9">
      <c r="A156" s="4">
        <v>1931</v>
      </c>
      <c r="B156" s="35">
        <f t="shared" si="17"/>
        <v>107.96686872174583</v>
      </c>
      <c r="C156" s="75"/>
      <c r="I156" s="32">
        <f>('Pm indices'!B155^'Pm wts'!B$28)*('Pm indices'!C155^'Pm wts'!C$28)*('Pm indices'!D155^'Pm wts'!D$28)*('Pm indices'!G155^'Pm wts'!G$28)*('Pm indices'!F155^'Pm wts'!F$28)*('Pm indices'!E155^'Pm wts'!E$28)</f>
        <v>106.99442051771139</v>
      </c>
    </row>
    <row r="157" spans="1:9">
      <c r="A157" s="4">
        <v>1932</v>
      </c>
      <c r="B157" s="35">
        <f t="shared" si="17"/>
        <v>114.34093468919353</v>
      </c>
      <c r="C157" s="75"/>
      <c r="I157" s="32">
        <f>('Pm indices'!B156^'Pm wts'!B$28)*('Pm indices'!C156^'Pm wts'!C$28)*('Pm indices'!D156^'Pm wts'!D$28)*('Pm indices'!G156^'Pm wts'!G$28)*('Pm indices'!F156^'Pm wts'!F$28)*('Pm indices'!E156^'Pm wts'!E$28)</f>
        <v>113.31107582690969</v>
      </c>
    </row>
    <row r="158" spans="1:9">
      <c r="A158" s="4">
        <v>1933</v>
      </c>
      <c r="B158" s="35">
        <f t="shared" si="17"/>
        <v>106.54762648270842</v>
      </c>
      <c r="C158" s="75"/>
      <c r="I158" s="32">
        <f>('Pm indices'!B157^'Pm wts'!B$28)*('Pm indices'!C157^'Pm wts'!C$28)*('Pm indices'!D157^'Pm wts'!D$28)*('Pm indices'!G157^'Pm wts'!G$28)*('Pm indices'!F157^'Pm wts'!F$28)*('Pm indices'!E157^'Pm wts'!E$28)</f>
        <v>105.58796127018593</v>
      </c>
    </row>
    <row r="159" spans="1:9">
      <c r="A159" s="4">
        <v>1934</v>
      </c>
      <c r="B159" s="35">
        <f t="shared" si="17"/>
        <v>105.51974970405624</v>
      </c>
      <c r="C159" s="75"/>
      <c r="I159" s="32">
        <f>('Pm indices'!B158^'Pm wts'!B$28)*('Pm indices'!C158^'Pm wts'!C$28)*('Pm indices'!D158^'Pm wts'!D$28)*('Pm indices'!G158^'Pm wts'!G$28)*('Pm indices'!F158^'Pm wts'!F$28)*('Pm indices'!E158^'Pm wts'!E$28)</f>
        <v>104.56934248835447</v>
      </c>
    </row>
    <row r="160" spans="1:9">
      <c r="A160" s="4">
        <v>1935</v>
      </c>
      <c r="B160" s="35">
        <f t="shared" si="17"/>
        <v>106.78641862720551</v>
      </c>
      <c r="C160" s="75"/>
      <c r="I160" s="32">
        <f>('Pm indices'!B159^'Pm wts'!B$28)*('Pm indices'!C159^'Pm wts'!C$28)*('Pm indices'!D159^'Pm wts'!D$28)*('Pm indices'!G159^'Pm wts'!G$28)*('Pm indices'!F159^'Pm wts'!F$28)*('Pm indices'!E159^'Pm wts'!E$28)</f>
        <v>105.82460263458906</v>
      </c>
    </row>
    <row r="161" spans="1:9">
      <c r="A161" s="4">
        <v>1936</v>
      </c>
      <c r="B161" s="35">
        <f t="shared" si="17"/>
        <v>107.99883890107319</v>
      </c>
      <c r="C161" s="75"/>
      <c r="I161" s="32">
        <f>('Pm indices'!B160^'Pm wts'!B$28)*('Pm indices'!C160^'Pm wts'!C$28)*('Pm indices'!D160^'Pm wts'!D$28)*('Pm indices'!G160^'Pm wts'!G$28)*('Pm indices'!F160^'Pm wts'!F$28)*('Pm indices'!E160^'Pm wts'!E$28)</f>
        <v>107.02610274441182</v>
      </c>
    </row>
    <row r="162" spans="1:9">
      <c r="A162" s="4">
        <v>1937</v>
      </c>
      <c r="B162" s="35">
        <f t="shared" si="17"/>
        <v>114.50594846042044</v>
      </c>
      <c r="C162" s="75"/>
      <c r="I162" s="32">
        <f>('Pm indices'!B161^'Pm wts'!B$28)*('Pm indices'!C161^'Pm wts'!C$28)*('Pm indices'!D161^'Pm wts'!D$28)*('Pm indices'!G161^'Pm wts'!G$28)*('Pm indices'!F161^'Pm wts'!F$28)*('Pm indices'!E161^'Pm wts'!E$28)</f>
        <v>113.47460333343919</v>
      </c>
    </row>
    <row r="163" spans="1:9">
      <c r="A163" s="4">
        <v>1938</v>
      </c>
      <c r="B163" s="35">
        <f t="shared" si="17"/>
        <v>109.60883645140842</v>
      </c>
      <c r="C163" s="75"/>
      <c r="I163" s="32">
        <f>('Pm indices'!B162^'Pm wts'!B$28)*('Pm indices'!C162^'Pm wts'!C$28)*('Pm indices'!D162^'Pm wts'!D$28)*('Pm indices'!G162^'Pm wts'!G$28)*('Pm indices'!F162^'Pm wts'!F$28)*('Pm indices'!E162^'Pm wts'!E$28)</f>
        <v>108.62159918672327</v>
      </c>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31"/>
  <sheetViews>
    <sheetView workbookViewId="0">
      <pane xSplit="1" ySplit="2" topLeftCell="B3" activePane="bottomRight" state="frozen"/>
      <selection pane="topRight" activeCell="B1" sqref="B1"/>
      <selection pane="bottomLeft" activeCell="A2" sqref="A2"/>
      <selection pane="bottomRight" activeCell="F35" sqref="F35"/>
    </sheetView>
  </sheetViews>
  <sheetFormatPr baseColWidth="10" defaultRowHeight="13"/>
  <sheetData>
    <row r="1" spans="1:8" ht="15">
      <c r="B1" s="33" t="s">
        <v>389</v>
      </c>
    </row>
    <row r="2" spans="1:8" ht="15">
      <c r="A2" s="4"/>
      <c r="B2" s="4" t="s">
        <v>394</v>
      </c>
      <c r="C2" s="4" t="s">
        <v>269</v>
      </c>
      <c r="D2" s="4" t="s">
        <v>270</v>
      </c>
      <c r="E2" s="4" t="s">
        <v>271</v>
      </c>
      <c r="F2" s="4" t="s">
        <v>272</v>
      </c>
      <c r="G2" s="4" t="s">
        <v>286</v>
      </c>
      <c r="H2" s="4" t="s">
        <v>345</v>
      </c>
    </row>
    <row r="3" spans="1:8" ht="15">
      <c r="A3" s="5">
        <v>1825</v>
      </c>
      <c r="B3" s="77">
        <v>800</v>
      </c>
      <c r="C3" s="77">
        <v>180</v>
      </c>
      <c r="D3" s="77">
        <v>110</v>
      </c>
      <c r="E3" s="77"/>
      <c r="F3" s="77"/>
      <c r="G3" s="77">
        <v>190</v>
      </c>
      <c r="H3" s="77">
        <f t="shared" ref="H3:H8" si="0">SUM(B3:G3)</f>
        <v>1280</v>
      </c>
    </row>
    <row r="4" spans="1:8" ht="15">
      <c r="A4" s="5">
        <v>1850</v>
      </c>
      <c r="B4" s="77">
        <v>900</v>
      </c>
      <c r="C4" s="77">
        <v>200</v>
      </c>
      <c r="D4" s="77">
        <v>500</v>
      </c>
      <c r="E4" s="77"/>
      <c r="F4" s="77">
        <v>120</v>
      </c>
      <c r="G4" s="77">
        <v>220</v>
      </c>
      <c r="H4" s="77">
        <f t="shared" si="0"/>
        <v>1940</v>
      </c>
    </row>
    <row r="5" spans="1:8" ht="15">
      <c r="A5" s="5">
        <v>1870</v>
      </c>
      <c r="B5" s="77">
        <v>12911</v>
      </c>
      <c r="C5" s="77">
        <v>2862</v>
      </c>
      <c r="D5" s="77">
        <v>12757</v>
      </c>
      <c r="E5" s="77">
        <v>1574</v>
      </c>
      <c r="F5" s="77">
        <v>1685</v>
      </c>
      <c r="G5" s="77">
        <v>3357</v>
      </c>
      <c r="H5" s="77">
        <f t="shared" si="0"/>
        <v>35146</v>
      </c>
    </row>
    <row r="6" spans="1:8" ht="15">
      <c r="A6" s="70">
        <v>1890</v>
      </c>
      <c r="B6" s="77">
        <v>57817</v>
      </c>
      <c r="C6" s="77">
        <v>9302</v>
      </c>
      <c r="D6" s="77">
        <v>19876</v>
      </c>
      <c r="E6" s="77">
        <v>12301</v>
      </c>
      <c r="F6" s="77">
        <v>8663</v>
      </c>
      <c r="G6" s="77">
        <v>3355</v>
      </c>
      <c r="H6" s="77">
        <f t="shared" si="0"/>
        <v>111314</v>
      </c>
    </row>
    <row r="7" spans="1:8" ht="15">
      <c r="A7" s="70">
        <v>1910</v>
      </c>
      <c r="B7" s="77">
        <v>267975</v>
      </c>
      <c r="C7" s="77">
        <v>118626</v>
      </c>
      <c r="D7" s="77">
        <v>82444</v>
      </c>
      <c r="E7" s="77">
        <v>149766</v>
      </c>
      <c r="F7" s="77">
        <v>77851</v>
      </c>
      <c r="G7" s="77">
        <v>22304</v>
      </c>
      <c r="H7" s="77">
        <f t="shared" si="0"/>
        <v>718966</v>
      </c>
    </row>
    <row r="8" spans="1:8" ht="15">
      <c r="A8" s="70">
        <v>1930</v>
      </c>
      <c r="B8" s="77">
        <v>333097</v>
      </c>
      <c r="C8" s="77">
        <v>370723</v>
      </c>
      <c r="D8" s="77">
        <v>101211</v>
      </c>
      <c r="E8" s="77">
        <v>197688</v>
      </c>
      <c r="F8" s="77">
        <v>156937</v>
      </c>
      <c r="G8" s="77">
        <v>69414</v>
      </c>
      <c r="H8" s="77">
        <f t="shared" si="0"/>
        <v>1229070</v>
      </c>
    </row>
    <row r="9" spans="1:8" ht="15">
      <c r="A9" s="70"/>
      <c r="B9" s="77"/>
      <c r="C9" s="77"/>
      <c r="D9" s="77"/>
      <c r="E9" s="77"/>
      <c r="F9" s="77"/>
      <c r="G9" s="77"/>
      <c r="H9" s="77"/>
    </row>
    <row r="10" spans="1:8" ht="15">
      <c r="B10" s="33" t="s">
        <v>390</v>
      </c>
    </row>
    <row r="11" spans="1:8" ht="15">
      <c r="A11" s="4"/>
      <c r="B11" s="4" t="s">
        <v>394</v>
      </c>
      <c r="C11" s="4" t="s">
        <v>269</v>
      </c>
      <c r="D11" s="4" t="s">
        <v>270</v>
      </c>
      <c r="E11" s="4" t="s">
        <v>271</v>
      </c>
      <c r="F11" s="4" t="s">
        <v>272</v>
      </c>
      <c r="G11" s="4" t="s">
        <v>286</v>
      </c>
      <c r="H11" s="4" t="s">
        <v>345</v>
      </c>
    </row>
    <row r="12" spans="1:8" ht="15">
      <c r="A12" s="33">
        <v>1825</v>
      </c>
      <c r="B12" s="4"/>
      <c r="C12" s="4"/>
      <c r="D12" s="4"/>
      <c r="E12" s="4"/>
      <c r="F12" s="4"/>
      <c r="G12" s="4"/>
      <c r="H12" s="4"/>
    </row>
    <row r="13" spans="1:8" ht="15">
      <c r="A13" s="34" t="s">
        <v>217</v>
      </c>
      <c r="B13" s="50">
        <v>1</v>
      </c>
      <c r="C13" s="50"/>
      <c r="D13" s="50"/>
      <c r="E13" s="50"/>
      <c r="F13" s="50"/>
      <c r="G13" s="50"/>
      <c r="H13" s="50">
        <f>SUM(B13:G13)</f>
        <v>1</v>
      </c>
    </row>
    <row r="14" spans="1:8" ht="15">
      <c r="A14" s="34" t="s">
        <v>218</v>
      </c>
      <c r="B14" s="50">
        <f>B16/SUM($B16:$C16)</f>
        <v>0.81632653061224492</v>
      </c>
      <c r="C14" s="50">
        <f>C16/SUM($B16:$C16)</f>
        <v>0.18367346938775511</v>
      </c>
      <c r="D14" s="50"/>
      <c r="E14" s="50"/>
      <c r="F14" s="50"/>
      <c r="G14" s="50"/>
      <c r="H14" s="50">
        <f>SUM(B14:G14)</f>
        <v>1</v>
      </c>
    </row>
    <row r="15" spans="1:8" ht="15">
      <c r="A15" s="34" t="s">
        <v>219</v>
      </c>
      <c r="B15" s="50">
        <f>B16/SUM($B16:$D16)</f>
        <v>0.73394495412844041</v>
      </c>
      <c r="C15" s="50">
        <f>C16/SUM($B16:$D16)</f>
        <v>0.16513761467889909</v>
      </c>
      <c r="D15" s="50">
        <f>D16/SUM($B16:$D16)</f>
        <v>0.10091743119266056</v>
      </c>
      <c r="E15" s="50"/>
      <c r="F15" s="50"/>
      <c r="G15" s="50"/>
      <c r="H15" s="50">
        <f>SUM(B15:G15)</f>
        <v>1</v>
      </c>
    </row>
    <row r="16" spans="1:8" ht="15">
      <c r="A16" s="34" t="s">
        <v>220</v>
      </c>
      <c r="B16" s="50">
        <f>B3/$H3</f>
        <v>0.625</v>
      </c>
      <c r="C16" s="50">
        <f t="shared" ref="C16:D16" si="1">C3/$H3</f>
        <v>0.140625</v>
      </c>
      <c r="D16" s="50">
        <f t="shared" si="1"/>
        <v>8.59375E-2</v>
      </c>
      <c r="E16" s="50"/>
      <c r="F16" s="50"/>
      <c r="G16" s="50">
        <f t="shared" ref="G16" si="2">G3/$H3</f>
        <v>0.1484375</v>
      </c>
      <c r="H16" s="50">
        <f>SUM(B16:G16)</f>
        <v>1</v>
      </c>
    </row>
    <row r="17" spans="1:8" ht="15">
      <c r="A17" s="33">
        <v>1850</v>
      </c>
      <c r="B17" s="4"/>
      <c r="C17" s="4"/>
      <c r="D17" s="4"/>
      <c r="E17" s="4"/>
      <c r="F17" s="4"/>
      <c r="G17" s="4"/>
      <c r="H17" s="50"/>
    </row>
    <row r="18" spans="1:8" ht="15">
      <c r="A18" s="34" t="s">
        <v>221</v>
      </c>
      <c r="B18" s="50">
        <f>B19/(SUM($B19:$G19)-$F19)</f>
        <v>0.49450549450549453</v>
      </c>
      <c r="C18" s="50">
        <f>C19/(SUM($B19:$G19)-$F19)</f>
        <v>0.10989010989010989</v>
      </c>
      <c r="D18" s="50">
        <f>D19/(SUM($B19:$G19)-$F19)</f>
        <v>0.27472527472527469</v>
      </c>
      <c r="E18" s="50"/>
      <c r="F18" s="50"/>
      <c r="G18" s="50">
        <f>G19/(SUM($B19:$G19)-$F19)</f>
        <v>0.12087912087912088</v>
      </c>
      <c r="H18" s="50">
        <f>SUM(B18:G18)</f>
        <v>1</v>
      </c>
    </row>
    <row r="19" spans="1:8" ht="15">
      <c r="A19" s="34" t="s">
        <v>222</v>
      </c>
      <c r="B19" s="50">
        <f>B4/$H4</f>
        <v>0.46391752577319589</v>
      </c>
      <c r="C19" s="50">
        <f>C4/$H4</f>
        <v>0.10309278350515463</v>
      </c>
      <c r="D19" s="50">
        <f>D4/$H4</f>
        <v>0.25773195876288657</v>
      </c>
      <c r="E19" s="50"/>
      <c r="F19" s="50">
        <f>F4/$H4</f>
        <v>6.1855670103092786E-2</v>
      </c>
      <c r="G19" s="50">
        <f>G4/$H4</f>
        <v>0.1134020618556701</v>
      </c>
      <c r="H19" s="50">
        <f>SUM(B19:G19)</f>
        <v>1</v>
      </c>
    </row>
    <row r="20" spans="1:8" ht="15">
      <c r="A20" s="33">
        <v>1870</v>
      </c>
      <c r="B20" s="4"/>
      <c r="C20" s="4"/>
      <c r="D20" s="4"/>
      <c r="E20" s="4"/>
      <c r="F20" s="4"/>
      <c r="G20" s="4"/>
      <c r="H20" s="50"/>
    </row>
    <row r="21" spans="1:8" ht="15">
      <c r="A21" s="34" t="s">
        <v>223</v>
      </c>
      <c r="B21" s="50">
        <f>B23/(SUM($B23:$G23)-$F23-$E23)</f>
        <v>0.4048985479976166</v>
      </c>
      <c r="C21" s="50">
        <f>C23/(SUM($B23:$G23)-$F23-$E23)</f>
        <v>8.9754445385266723E-2</v>
      </c>
      <c r="D21" s="50">
        <f>D23/(SUM($B23:$G23)-$F23-$E23)</f>
        <v>0.40006899363376924</v>
      </c>
      <c r="E21" s="50"/>
      <c r="F21" s="50"/>
      <c r="G21" s="50">
        <f>G23/(SUM($B23:$G23)-$F23-$E23)</f>
        <v>0.10527801298334745</v>
      </c>
      <c r="H21" s="50">
        <f>SUM(B21:G21)</f>
        <v>1</v>
      </c>
    </row>
    <row r="22" spans="1:8" ht="15">
      <c r="A22" s="34" t="s">
        <v>222</v>
      </c>
      <c r="B22" s="50">
        <f>B23/(SUM($B23:$G23)-$E23)</f>
        <v>0.38457643274157038</v>
      </c>
      <c r="C22" s="50">
        <f>C23/(SUM($B23:$G23)-$E23)</f>
        <v>8.5249612772548569E-2</v>
      </c>
      <c r="D22" s="50">
        <f>D23/(SUM($B23:$G23)-$E23)</f>
        <v>0.3799892767782676</v>
      </c>
      <c r="E22" s="50"/>
      <c r="F22" s="50">
        <f>F23/(SUM($B23:$G23)-$E23)</f>
        <v>5.0190635053020377E-2</v>
      </c>
      <c r="G22" s="50">
        <f>G23/(SUM($B23:$G23)-$E23)</f>
        <v>9.9994042654593121E-2</v>
      </c>
      <c r="H22" s="50">
        <f>SUM(B22:G22)</f>
        <v>1</v>
      </c>
    </row>
    <row r="23" spans="1:8" ht="15">
      <c r="A23" s="34" t="s">
        <v>224</v>
      </c>
      <c r="B23" s="50">
        <f>B5/$H5</f>
        <v>0.36735332612530586</v>
      </c>
      <c r="C23" s="50">
        <f>C5/$H5</f>
        <v>8.1431741876742736E-2</v>
      </c>
      <c r="D23" s="50">
        <f t="shared" ref="D23:H23" si="3">D5/$H5</f>
        <v>0.36297160416548113</v>
      </c>
      <c r="E23" s="50">
        <f t="shared" si="3"/>
        <v>4.4784612758208615E-2</v>
      </c>
      <c r="F23" s="50">
        <f t="shared" si="3"/>
        <v>4.7942866898082283E-2</v>
      </c>
      <c r="G23" s="50">
        <f t="shared" si="3"/>
        <v>9.5515848176179363E-2</v>
      </c>
      <c r="H23" s="50">
        <f t="shared" si="3"/>
        <v>1</v>
      </c>
    </row>
    <row r="24" spans="1:8" ht="15">
      <c r="A24" s="33">
        <v>1890</v>
      </c>
      <c r="B24" s="4"/>
      <c r="C24" s="4"/>
      <c r="D24" s="4"/>
      <c r="E24" s="4"/>
      <c r="F24" s="4"/>
      <c r="G24" s="4"/>
      <c r="H24" s="50"/>
    </row>
    <row r="25" spans="1:8" ht="15">
      <c r="A25" s="34" t="s">
        <v>225</v>
      </c>
      <c r="B25" s="50">
        <f>B26/(SUM($B26:$G26)-$E26)</f>
        <v>0.58393342288386374</v>
      </c>
      <c r="C25" s="50">
        <f>C26/(SUM($B26:$G26)-$E26)</f>
        <v>9.3947259450779197E-2</v>
      </c>
      <c r="D25" s="50">
        <f>D26/(SUM($B26:$G26)-$E26)</f>
        <v>0.20074131679678428</v>
      </c>
      <c r="E25" s="50"/>
      <c r="F25" s="50">
        <f>F26/(SUM($B26:$G26)-$E26)</f>
        <v>8.7493561451526564E-2</v>
      </c>
      <c r="G25" s="50">
        <f>G26/(SUM($B26:$G26)-$E26)</f>
        <v>3.3884439417046247E-2</v>
      </c>
      <c r="H25" s="50">
        <f>SUM(B25:G25)</f>
        <v>1</v>
      </c>
    </row>
    <row r="26" spans="1:8" ht="15">
      <c r="A26" s="34" t="s">
        <v>224</v>
      </c>
      <c r="B26" s="50">
        <f>B6/$H6</f>
        <v>0.51940456726018291</v>
      </c>
      <c r="C26" s="50">
        <f t="shared" ref="C26:G26" si="4">C6/$H6</f>
        <v>8.3565409562139537E-2</v>
      </c>
      <c r="D26" s="50">
        <f t="shared" si="4"/>
        <v>0.1785579531774979</v>
      </c>
      <c r="E26" s="50">
        <f t="shared" si="4"/>
        <v>0.1105072138275509</v>
      </c>
      <c r="F26" s="50">
        <f t="shared" si="4"/>
        <v>7.7824891747668754E-2</v>
      </c>
      <c r="G26" s="50">
        <f t="shared" si="4"/>
        <v>3.0139964424960024E-2</v>
      </c>
      <c r="H26" s="50">
        <f>SUM(B26:G26)</f>
        <v>1</v>
      </c>
    </row>
    <row r="27" spans="1:8" ht="15">
      <c r="A27" s="33">
        <v>1910</v>
      </c>
      <c r="B27" s="50">
        <f>B7/$H7</f>
        <v>0.3727227713132471</v>
      </c>
      <c r="C27" s="50">
        <f t="shared" ref="C27:G27" si="5">C7/$H7</f>
        <v>0.16499528489525234</v>
      </c>
      <c r="D27" s="50">
        <f t="shared" si="5"/>
        <v>0.1146702347537992</v>
      </c>
      <c r="E27" s="50">
        <f t="shared" si="5"/>
        <v>0.20830748602854654</v>
      </c>
      <c r="F27" s="50">
        <f t="shared" si="5"/>
        <v>0.10828189371959175</v>
      </c>
      <c r="G27" s="50">
        <f t="shared" si="5"/>
        <v>3.1022329289563066E-2</v>
      </c>
      <c r="H27" s="50">
        <f>SUM(B27:G27)</f>
        <v>1</v>
      </c>
    </row>
    <row r="28" spans="1:8" ht="15">
      <c r="A28" s="33">
        <v>1930</v>
      </c>
      <c r="B28" s="50">
        <f>B8/$H8</f>
        <v>0.27101548325156422</v>
      </c>
      <c r="C28" s="50">
        <f t="shared" ref="C28:G28" si="6">C8/$H8</f>
        <v>0.30162887386397846</v>
      </c>
      <c r="D28" s="50">
        <f t="shared" si="6"/>
        <v>8.2347628694866851E-2</v>
      </c>
      <c r="E28" s="50">
        <f t="shared" si="6"/>
        <v>0.16084356464643998</v>
      </c>
      <c r="F28" s="50">
        <f t="shared" si="6"/>
        <v>0.12768760119439901</v>
      </c>
      <c r="G28" s="50">
        <f t="shared" si="6"/>
        <v>5.6476848348751496E-2</v>
      </c>
      <c r="H28" s="50">
        <f>SUM(B28:G28)</f>
        <v>1</v>
      </c>
    </row>
    <row r="29" spans="1:8" ht="15">
      <c r="A29" s="4"/>
      <c r="B29" s="4"/>
      <c r="C29" s="4"/>
      <c r="D29" s="4"/>
      <c r="E29" s="4"/>
      <c r="F29" s="4"/>
      <c r="G29" s="4"/>
      <c r="H29" s="4"/>
    </row>
    <row r="30" spans="1:8" ht="15">
      <c r="A30" s="4"/>
      <c r="B30" s="4"/>
      <c r="C30" s="4"/>
      <c r="D30" s="4"/>
      <c r="E30" s="4"/>
      <c r="F30" s="4"/>
      <c r="G30" s="4"/>
      <c r="H30" s="4"/>
    </row>
    <row r="31" spans="1:8" ht="15">
      <c r="A31" s="4"/>
      <c r="B31" s="4"/>
      <c r="C31" s="4"/>
      <c r="D31" s="4"/>
      <c r="E31" s="4"/>
      <c r="F31" s="4"/>
      <c r="G31" s="4"/>
      <c r="H31" s="4"/>
    </row>
  </sheetData>
  <sheetCalcPr fullCalcOnLoad="1"/>
  <sortState ref="A49:G51">
    <sortCondition descending="1" ref="A49:A51"/>
  </sortState>
  <phoneticPr fontId="3"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Intro</vt:lpstr>
      <vt:lpstr>ToTs</vt:lpstr>
      <vt:lpstr>Px</vt:lpstr>
      <vt:lpstr>Px wts</vt:lpstr>
      <vt:lpstr>Px prices</vt:lpstr>
      <vt:lpstr>Hide prices</vt:lpstr>
      <vt:lpstr>XE</vt:lpstr>
      <vt:lpstr>Pm</vt:lpstr>
      <vt:lpstr>Pm wts</vt:lpstr>
      <vt:lpstr>Pm indices</vt:lpstr>
      <vt:lpstr>Brazil Px</vt:lpstr>
      <vt:lpstr>Moutoukias</vt:lpstr>
      <vt:lpstr>Anon. 1</vt:lpstr>
      <vt:lpstr>Anon. 2</vt:lpstr>
      <vt:lpstr>Broide</vt:lpstr>
      <vt:lpstr>Alvarez</vt:lpstr>
      <vt:lpstr>Cortes Conde et al</vt:lpstr>
      <vt:lpstr>V-P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dc:creator>
  <cp:lastModifiedBy>jf</cp:lastModifiedBy>
  <dcterms:created xsi:type="dcterms:W3CDTF">2012-06-16T18:40:43Z</dcterms:created>
  <dcterms:modified xsi:type="dcterms:W3CDTF">2014-08-08T06:52:31Z</dcterms:modified>
</cp:coreProperties>
</file>